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agovistatx-my.sharepoint.com/personal/nichole_navarro_lagovistatexas_gov/Documents/Desktop/2025-26 Budget/"/>
    </mc:Choice>
  </mc:AlternateContent>
  <xr:revisionPtr revIDLastSave="9933" documentId="8_{DBBFACD5-F180-499D-97F6-91FBEB83B801}" xr6:coauthVersionLast="47" xr6:coauthVersionMax="47" xr10:uidLastSave="{03820295-259A-420E-9C44-31E7E0670280}"/>
  <bookViews>
    <workbookView xWindow="28680" yWindow="-120" windowWidth="29040" windowHeight="15720" firstSheet="1" activeTab="1" xr2:uid="{6C2E3EB6-3A97-4F89-9A2C-62C9BEB20256}"/>
  </bookViews>
  <sheets>
    <sheet name="2025-26 proposed budget" sheetId="1" state="hidden" r:id="rId1"/>
    <sheet name="Consolidated 1" sheetId="47" r:id="rId2"/>
    <sheet name="Main Operating Funds" sheetId="50" r:id="rId3"/>
    <sheet name="Consolidated W.O Salaries" sheetId="48" r:id="rId4"/>
    <sheet name="Consolidated Moving CIP" sheetId="49" r:id="rId5"/>
    <sheet name="General Fund Revenue" sheetId="2" r:id="rId6"/>
    <sheet name="Admin" sheetId="3" r:id="rId7"/>
    <sheet name="Non Departmental" sheetId="4" r:id="rId8"/>
    <sheet name="Development Service" sheetId="5" r:id="rId9"/>
    <sheet name="Finance" sheetId="6" r:id="rId10"/>
    <sheet name="HR" sheetId="7" r:id="rId11"/>
    <sheet name="Court" sheetId="8" r:id="rId12"/>
    <sheet name="City Secretary" sheetId="9" r:id="rId13"/>
    <sheet name="Economic Development" sheetId="10" r:id="rId14"/>
    <sheet name="Legal" sheetId="11" r:id="rId15"/>
    <sheet name="Police Department" sheetId="12" r:id="rId16"/>
    <sheet name="Code Enforcement" sheetId="13" r:id="rId17"/>
    <sheet name="Dispatch" sheetId="14" r:id="rId18"/>
    <sheet name="Streets" sheetId="15" r:id="rId19"/>
    <sheet name="Solid Waste" sheetId="16" r:id="rId20"/>
    <sheet name="Building Maintenance" sheetId="17" r:id="rId21"/>
    <sheet name="Parks &amp; Rec" sheetId="18" r:id="rId22"/>
    <sheet name="Aquatics" sheetId="19" r:id="rId23"/>
    <sheet name="Library" sheetId="20" r:id="rId24"/>
    <sheet name="City Council" sheetId="21" r:id="rId25"/>
    <sheet name="General Fund IT" sheetId="22" r:id="rId26"/>
    <sheet name="General Fund Transfers" sheetId="23" r:id="rId27"/>
    <sheet name="Hotel Fund" sheetId="24" r:id="rId28"/>
    <sheet name="Aviation Fund" sheetId="25" r:id="rId29"/>
    <sheet name="Golf Course Revenue" sheetId="26" r:id="rId30"/>
    <sheet name="LVGC ProShop" sheetId="27" r:id="rId31"/>
    <sheet name="LVGC Maintenance" sheetId="28" r:id="rId32"/>
    <sheet name="Utility Fund Revenue" sheetId="29" r:id="rId33"/>
    <sheet name="Utility Admin" sheetId="30" r:id="rId34"/>
    <sheet name="General Fund Transfer" sheetId="31" r:id="rId35"/>
    <sheet name="Utility Fund IT" sheetId="32" r:id="rId36"/>
    <sheet name="Public Works Admin" sheetId="34" r:id="rId37"/>
    <sheet name="Water Services" sheetId="33" r:id="rId38"/>
    <sheet name="Water Plant 1" sheetId="35" r:id="rId39"/>
    <sheet name="Water Plant 3" sheetId="36" r:id="rId40"/>
    <sheet name="Sewer Services" sheetId="37" r:id="rId41"/>
    <sheet name="Wastewater Treatment Plant" sheetId="38" r:id="rId42"/>
    <sheet name="Effluent Disposal" sheetId="39" r:id="rId43"/>
    <sheet name="Booster Pumps" sheetId="40" r:id="rId44"/>
    <sheet name="Lift Stations" sheetId="41" r:id="rId45"/>
    <sheet name="Park Fund" sheetId="43" r:id="rId46"/>
    <sheet name="Impact Fee Fund" sheetId="44" r:id="rId47"/>
    <sheet name="Debt Service" sheetId="42" r:id="rId48"/>
    <sheet name="CIP Fund" sheetId="45" r:id="rId49"/>
  </sheets>
  <definedNames>
    <definedName name="_xlnm.Print_Titles" localSheetId="6">Admin!$3:$6</definedName>
    <definedName name="_xlnm.Print_Titles" localSheetId="22">Aquatics!$3:$6</definedName>
    <definedName name="_xlnm.Print_Titles" localSheetId="28">'Aviation Fund'!$3:$6</definedName>
    <definedName name="_xlnm.Print_Titles" localSheetId="43">'Booster Pumps'!$3:$6</definedName>
    <definedName name="_xlnm.Print_Titles" localSheetId="20">'Building Maintenance'!$3:$6</definedName>
    <definedName name="_xlnm.Print_Titles" localSheetId="48">'CIP Fund'!$3:$6</definedName>
    <definedName name="_xlnm.Print_Titles" localSheetId="24">'City Council'!$3:$6</definedName>
    <definedName name="_xlnm.Print_Titles" localSheetId="12">'City Secretary'!$3:$6</definedName>
    <definedName name="_xlnm.Print_Titles" localSheetId="16">'Code Enforcement'!$3:$6</definedName>
    <definedName name="_xlnm.Print_Titles" localSheetId="1">'Consolidated 1'!$3:$6</definedName>
    <definedName name="_xlnm.Print_Titles" localSheetId="11">Court!$3:$6</definedName>
    <definedName name="_xlnm.Print_Titles" localSheetId="47">'Debt Service'!$3:$6</definedName>
    <definedName name="_xlnm.Print_Titles" localSheetId="8">'Development Service'!$3:$6</definedName>
    <definedName name="_xlnm.Print_Titles" localSheetId="17">Dispatch!$3:$6</definedName>
    <definedName name="_xlnm.Print_Titles" localSheetId="13">'Economic Development'!$3:$6</definedName>
    <definedName name="_xlnm.Print_Titles" localSheetId="42">'Effluent Disposal'!$3:$6</definedName>
    <definedName name="_xlnm.Print_Titles" localSheetId="9">Finance!$3:$6</definedName>
    <definedName name="_xlnm.Print_Titles" localSheetId="25">'General Fund IT'!$3:$6</definedName>
    <definedName name="_xlnm.Print_Titles" localSheetId="5">'General Fund Revenue'!$3:$6</definedName>
    <definedName name="_xlnm.Print_Titles" localSheetId="34">'General Fund Transfer'!$2:$5</definedName>
    <definedName name="_xlnm.Print_Titles" localSheetId="26">'General Fund Transfers'!$3:$6</definedName>
    <definedName name="_xlnm.Print_Titles" localSheetId="29">'Golf Course Revenue'!$3:$6</definedName>
    <definedName name="_xlnm.Print_Titles" localSheetId="27">'Hotel Fund'!$3:$6</definedName>
    <definedName name="_xlnm.Print_Titles" localSheetId="10">HR!$3:$6</definedName>
    <definedName name="_xlnm.Print_Titles" localSheetId="46">'Impact Fee Fund'!$3:$6</definedName>
    <definedName name="_xlnm.Print_Titles" localSheetId="14">Legal!$3:$6</definedName>
    <definedName name="_xlnm.Print_Titles" localSheetId="23">Library!$3:$6</definedName>
    <definedName name="_xlnm.Print_Titles" localSheetId="44">'Lift Stations'!$3:$6</definedName>
    <definedName name="_xlnm.Print_Titles" localSheetId="31">'LVGC Maintenance'!$3:$6</definedName>
    <definedName name="_xlnm.Print_Titles" localSheetId="30">'LVGC ProShop'!$3:$6</definedName>
    <definedName name="_xlnm.Print_Titles" localSheetId="7">'Non Departmental'!$3:$6</definedName>
    <definedName name="_xlnm.Print_Titles" localSheetId="45">'Park Fund'!$3:$6</definedName>
    <definedName name="_xlnm.Print_Titles" localSheetId="21">'Parks &amp; Rec'!$3:$6</definedName>
    <definedName name="_xlnm.Print_Titles" localSheetId="15">'Police Department'!$3:$6</definedName>
    <definedName name="_xlnm.Print_Titles" localSheetId="36">'Public Works Admin'!$3:$6</definedName>
    <definedName name="_xlnm.Print_Titles" localSheetId="40">'Sewer Services'!$3:$6</definedName>
    <definedName name="_xlnm.Print_Titles" localSheetId="19">'Solid Waste'!$3:$6</definedName>
    <definedName name="_xlnm.Print_Titles" localSheetId="18">Streets!$3:$6</definedName>
    <definedName name="_xlnm.Print_Titles" localSheetId="33">'Utility Admin'!$3:$6</definedName>
    <definedName name="_xlnm.Print_Titles" localSheetId="35">'Utility Fund IT'!$3:$6</definedName>
    <definedName name="_xlnm.Print_Titles" localSheetId="32">'Utility Fund Revenue'!$3:$6</definedName>
    <definedName name="_xlnm.Print_Titles" localSheetId="41">'Wastewater Treatment Plant'!$3:$6</definedName>
    <definedName name="_xlnm.Print_Titles" localSheetId="38">'Water Plant 1'!$3:$6</definedName>
    <definedName name="_xlnm.Print_Titles" localSheetId="39">'Water Plant 3'!$3:$6</definedName>
    <definedName name="_xlnm.Print_Titles" localSheetId="37">'Water Services'!$3:$6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8" l="1"/>
  <c r="J16" i="22" l="1"/>
  <c r="L23" i="22"/>
  <c r="J16" i="20"/>
  <c r="J16" i="39"/>
  <c r="J16" i="34" l="1"/>
  <c r="J16" i="15"/>
  <c r="J16" i="14" l="1"/>
  <c r="J16" i="6" l="1"/>
  <c r="J16" i="5"/>
  <c r="K231" i="47" l="1"/>
  <c r="J231" i="47"/>
  <c r="J55" i="2"/>
  <c r="J238" i="2" s="1"/>
  <c r="B65" i="50"/>
  <c r="C65" i="50"/>
  <c r="D65" i="50"/>
  <c r="E65" i="50"/>
  <c r="F65" i="50"/>
  <c r="G65" i="50"/>
  <c r="J65" i="50"/>
  <c r="K65" i="50"/>
  <c r="I65" i="50"/>
  <c r="F406" i="50"/>
  <c r="G406" i="50"/>
  <c r="I406" i="50"/>
  <c r="J406" i="50"/>
  <c r="K406" i="50"/>
  <c r="E406" i="50"/>
  <c r="K418" i="50"/>
  <c r="J418" i="50"/>
  <c r="I418" i="50"/>
  <c r="G418" i="50"/>
  <c r="F418" i="50"/>
  <c r="E418" i="50"/>
  <c r="K420" i="50"/>
  <c r="J420" i="50"/>
  <c r="I420" i="50"/>
  <c r="G420" i="50"/>
  <c r="F420" i="50"/>
  <c r="E420" i="50"/>
  <c r="C425" i="50"/>
  <c r="D425" i="50"/>
  <c r="E425" i="50"/>
  <c r="F425" i="50"/>
  <c r="G425" i="50"/>
  <c r="I425" i="50"/>
  <c r="J425" i="50"/>
  <c r="K425" i="50"/>
  <c r="C424" i="50"/>
  <c r="D424" i="50"/>
  <c r="E424" i="50"/>
  <c r="F424" i="50"/>
  <c r="G424" i="50"/>
  <c r="I424" i="50"/>
  <c r="J424" i="50"/>
  <c r="K424" i="50"/>
  <c r="C421" i="50"/>
  <c r="D421" i="50"/>
  <c r="E421" i="50"/>
  <c r="F421" i="50"/>
  <c r="G421" i="50"/>
  <c r="J421" i="50"/>
  <c r="C420" i="50"/>
  <c r="D420" i="50"/>
  <c r="C419" i="50"/>
  <c r="D419" i="50"/>
  <c r="E419" i="50"/>
  <c r="F419" i="50"/>
  <c r="G419" i="50"/>
  <c r="I419" i="50"/>
  <c r="J419" i="50"/>
  <c r="K419" i="50"/>
  <c r="C418" i="50"/>
  <c r="D418" i="50"/>
  <c r="C416" i="50"/>
  <c r="D416" i="50"/>
  <c r="E416" i="50"/>
  <c r="F416" i="50"/>
  <c r="G416" i="50"/>
  <c r="I416" i="50"/>
  <c r="J416" i="50"/>
  <c r="K416" i="50"/>
  <c r="K415" i="50"/>
  <c r="C415" i="50"/>
  <c r="D415" i="50"/>
  <c r="E415" i="50"/>
  <c r="F415" i="50"/>
  <c r="G415" i="50"/>
  <c r="I415" i="50"/>
  <c r="J415" i="50"/>
  <c r="C414" i="50"/>
  <c r="D414" i="50"/>
  <c r="E414" i="50"/>
  <c r="F414" i="50"/>
  <c r="G414" i="50"/>
  <c r="J414" i="50"/>
  <c r="C413" i="50"/>
  <c r="D413" i="50"/>
  <c r="E413" i="50"/>
  <c r="F413" i="50"/>
  <c r="G413" i="50"/>
  <c r="I413" i="50"/>
  <c r="J413" i="50"/>
  <c r="K413" i="50"/>
  <c r="C411" i="50"/>
  <c r="D411" i="50"/>
  <c r="E411" i="50"/>
  <c r="F411" i="50"/>
  <c r="G411" i="50"/>
  <c r="I411" i="50"/>
  <c r="J411" i="50"/>
  <c r="K411" i="50"/>
  <c r="C410" i="50"/>
  <c r="D410" i="50"/>
  <c r="E410" i="50"/>
  <c r="F410" i="50"/>
  <c r="G410" i="50"/>
  <c r="I410" i="50"/>
  <c r="J410" i="50"/>
  <c r="K410" i="50"/>
  <c r="B425" i="50"/>
  <c r="B424" i="50"/>
  <c r="B421" i="50"/>
  <c r="B420" i="50"/>
  <c r="B419" i="50"/>
  <c r="B418" i="50"/>
  <c r="B416" i="50"/>
  <c r="B415" i="50"/>
  <c r="B414" i="50"/>
  <c r="B413" i="50"/>
  <c r="B411" i="50"/>
  <c r="B410" i="50"/>
  <c r="C406" i="50"/>
  <c r="D406" i="50"/>
  <c r="E445" i="50"/>
  <c r="J445" i="50"/>
  <c r="B406" i="50"/>
  <c r="C388" i="50"/>
  <c r="D388" i="50"/>
  <c r="E388" i="50"/>
  <c r="F388" i="50"/>
  <c r="G388" i="50"/>
  <c r="G393" i="50" s="1"/>
  <c r="G451" i="50" s="1"/>
  <c r="H388" i="50"/>
  <c r="I388" i="50"/>
  <c r="I393" i="50" s="1"/>
  <c r="I451" i="50" s="1"/>
  <c r="J388" i="50"/>
  <c r="J393" i="50" s="1"/>
  <c r="J451" i="50" s="1"/>
  <c r="K388" i="50"/>
  <c r="C387" i="50"/>
  <c r="D387" i="50"/>
  <c r="E387" i="50"/>
  <c r="F387" i="50"/>
  <c r="G387" i="50"/>
  <c r="H387" i="50"/>
  <c r="I387" i="50"/>
  <c r="J387" i="50"/>
  <c r="K387" i="50"/>
  <c r="B388" i="50"/>
  <c r="B387" i="50"/>
  <c r="C383" i="50"/>
  <c r="C378" i="50" s="1"/>
  <c r="C444" i="50" s="1"/>
  <c r="D383" i="50"/>
  <c r="D378" i="50" s="1"/>
  <c r="D380" i="50" s="1"/>
  <c r="E383" i="50"/>
  <c r="E378" i="50" s="1"/>
  <c r="F383" i="50"/>
  <c r="G383" i="50"/>
  <c r="G378" i="50" s="1"/>
  <c r="I383" i="50"/>
  <c r="I378" i="50" s="1"/>
  <c r="I380" i="50" s="1"/>
  <c r="J383" i="50"/>
  <c r="J378" i="50" s="1"/>
  <c r="K383" i="50"/>
  <c r="K378" i="50" s="1"/>
  <c r="B383" i="50"/>
  <c r="F378" i="50"/>
  <c r="F380" i="50" s="1"/>
  <c r="B378" i="50"/>
  <c r="C364" i="50"/>
  <c r="D364" i="50"/>
  <c r="E364" i="50"/>
  <c r="F364" i="50"/>
  <c r="G364" i="50"/>
  <c r="H364" i="50"/>
  <c r="H363" i="50" s="1"/>
  <c r="I364" i="50"/>
  <c r="J364" i="50"/>
  <c r="B364" i="50"/>
  <c r="C214" i="50"/>
  <c r="D214" i="50"/>
  <c r="E214" i="50"/>
  <c r="F214" i="50"/>
  <c r="G214" i="50"/>
  <c r="I214" i="50"/>
  <c r="J214" i="50"/>
  <c r="B214" i="50"/>
  <c r="H365" i="50"/>
  <c r="C345" i="50"/>
  <c r="D345" i="50"/>
  <c r="E345" i="50"/>
  <c r="F345" i="50"/>
  <c r="G345" i="50"/>
  <c r="I345" i="50"/>
  <c r="J345" i="50"/>
  <c r="K345" i="50"/>
  <c r="C344" i="50"/>
  <c r="D344" i="50"/>
  <c r="E344" i="50"/>
  <c r="F344" i="50"/>
  <c r="G344" i="50"/>
  <c r="I344" i="50"/>
  <c r="J344" i="50"/>
  <c r="K344" i="50"/>
  <c r="C343" i="50"/>
  <c r="D343" i="50"/>
  <c r="E343" i="50"/>
  <c r="F343" i="50"/>
  <c r="G343" i="50"/>
  <c r="I343" i="50"/>
  <c r="J343" i="50"/>
  <c r="C341" i="50"/>
  <c r="D341" i="50"/>
  <c r="E341" i="50"/>
  <c r="F341" i="50"/>
  <c r="G341" i="50"/>
  <c r="I341" i="50"/>
  <c r="J341" i="50"/>
  <c r="K341" i="50"/>
  <c r="C340" i="50"/>
  <c r="D340" i="50"/>
  <c r="E340" i="50"/>
  <c r="F340" i="50"/>
  <c r="G340" i="50"/>
  <c r="J340" i="50"/>
  <c r="C338" i="50"/>
  <c r="D338" i="50"/>
  <c r="E338" i="50"/>
  <c r="F338" i="50"/>
  <c r="G338" i="50"/>
  <c r="I338" i="50"/>
  <c r="J338" i="50"/>
  <c r="K338" i="50"/>
  <c r="C337" i="50"/>
  <c r="D337" i="50"/>
  <c r="E337" i="50"/>
  <c r="F337" i="50"/>
  <c r="G337" i="50"/>
  <c r="J337" i="50"/>
  <c r="C336" i="50"/>
  <c r="D336" i="50"/>
  <c r="E336" i="50"/>
  <c r="F336" i="50"/>
  <c r="G336" i="50"/>
  <c r="I336" i="50"/>
  <c r="J336" i="50"/>
  <c r="K336" i="50"/>
  <c r="C335" i="50"/>
  <c r="D335" i="50"/>
  <c r="E335" i="50"/>
  <c r="F335" i="50"/>
  <c r="G335" i="50"/>
  <c r="I335" i="50"/>
  <c r="J335" i="50"/>
  <c r="K335" i="50"/>
  <c r="C334" i="50"/>
  <c r="D334" i="50"/>
  <c r="E334" i="50"/>
  <c r="F334" i="50"/>
  <c r="G334" i="50"/>
  <c r="J334" i="50"/>
  <c r="C333" i="50"/>
  <c r="D333" i="50"/>
  <c r="E333" i="50"/>
  <c r="F333" i="50"/>
  <c r="G333" i="50"/>
  <c r="J333" i="50"/>
  <c r="C332" i="50"/>
  <c r="D332" i="50"/>
  <c r="E332" i="50"/>
  <c r="F332" i="50"/>
  <c r="G332" i="50"/>
  <c r="I332" i="50"/>
  <c r="J332" i="50"/>
  <c r="K332" i="50"/>
  <c r="C331" i="50"/>
  <c r="D331" i="50"/>
  <c r="E331" i="50"/>
  <c r="F331" i="50"/>
  <c r="G331" i="50"/>
  <c r="I331" i="50"/>
  <c r="J331" i="50"/>
  <c r="K331" i="50"/>
  <c r="C330" i="50"/>
  <c r="D330" i="50"/>
  <c r="E330" i="50"/>
  <c r="F330" i="50"/>
  <c r="G330" i="50"/>
  <c r="I330" i="50"/>
  <c r="J330" i="50"/>
  <c r="K330" i="50"/>
  <c r="C329" i="50"/>
  <c r="D329" i="50"/>
  <c r="E329" i="50"/>
  <c r="F329" i="50"/>
  <c r="G329" i="50"/>
  <c r="I329" i="50"/>
  <c r="J329" i="50"/>
  <c r="K329" i="50"/>
  <c r="C328" i="50"/>
  <c r="D328" i="50"/>
  <c r="E328" i="50"/>
  <c r="F328" i="50"/>
  <c r="G328" i="50"/>
  <c r="I328" i="50"/>
  <c r="J328" i="50"/>
  <c r="K328" i="50"/>
  <c r="C327" i="50"/>
  <c r="D327" i="50"/>
  <c r="E327" i="50"/>
  <c r="F327" i="50"/>
  <c r="G327" i="50"/>
  <c r="I327" i="50"/>
  <c r="J327" i="50"/>
  <c r="K327" i="50"/>
  <c r="C326" i="50"/>
  <c r="D326" i="50"/>
  <c r="E326" i="50"/>
  <c r="F326" i="50"/>
  <c r="G326" i="50"/>
  <c r="I326" i="50"/>
  <c r="J326" i="50"/>
  <c r="K326" i="50"/>
  <c r="C324" i="50"/>
  <c r="D324" i="50"/>
  <c r="E324" i="50"/>
  <c r="F324" i="50"/>
  <c r="G324" i="50"/>
  <c r="J324" i="50"/>
  <c r="C323" i="50"/>
  <c r="D323" i="50"/>
  <c r="E323" i="50"/>
  <c r="F323" i="50"/>
  <c r="G323" i="50"/>
  <c r="C322" i="50"/>
  <c r="D322" i="50"/>
  <c r="E322" i="50"/>
  <c r="F322" i="50"/>
  <c r="G322" i="50"/>
  <c r="I322" i="50"/>
  <c r="J322" i="50"/>
  <c r="K322" i="50"/>
  <c r="B345" i="50"/>
  <c r="B344" i="50"/>
  <c r="B343" i="50"/>
  <c r="B341" i="50"/>
  <c r="B340" i="50"/>
  <c r="B338" i="50"/>
  <c r="B337" i="50"/>
  <c r="B336" i="50"/>
  <c r="B335" i="50"/>
  <c r="B334" i="50"/>
  <c r="B333" i="50"/>
  <c r="B332" i="50"/>
  <c r="B331" i="50"/>
  <c r="B330" i="50"/>
  <c r="B329" i="50"/>
  <c r="B328" i="50"/>
  <c r="B327" i="50"/>
  <c r="B326" i="50"/>
  <c r="B324" i="50"/>
  <c r="B323" i="50"/>
  <c r="B322" i="50"/>
  <c r="C318" i="50"/>
  <c r="D318" i="50"/>
  <c r="D316" i="50" s="1"/>
  <c r="D442" i="50" s="1"/>
  <c r="E318" i="50"/>
  <c r="E316" i="50" s="1"/>
  <c r="E442" i="50" s="1"/>
  <c r="F318" i="50"/>
  <c r="F316" i="50" s="1"/>
  <c r="F442" i="50" s="1"/>
  <c r="G318" i="50"/>
  <c r="G316" i="50" s="1"/>
  <c r="I318" i="50"/>
  <c r="J318" i="50"/>
  <c r="J316" i="50" s="1"/>
  <c r="K318" i="50"/>
  <c r="B166" i="50"/>
  <c r="B16" i="50"/>
  <c r="B318" i="50"/>
  <c r="B316" i="50" s="1"/>
  <c r="B442" i="50" s="1"/>
  <c r="C316" i="50"/>
  <c r="C442" i="50" s="1"/>
  <c r="I445" i="50"/>
  <c r="G445" i="50"/>
  <c r="D445" i="50"/>
  <c r="K430" i="50"/>
  <c r="K429" i="50"/>
  <c r="K428" i="50"/>
  <c r="K427" i="50"/>
  <c r="F445" i="50"/>
  <c r="C445" i="50"/>
  <c r="B445" i="50"/>
  <c r="K391" i="50"/>
  <c r="K390" i="50"/>
  <c r="K389" i="50"/>
  <c r="F393" i="50"/>
  <c r="E393" i="50"/>
  <c r="E451" i="50" s="1"/>
  <c r="D393" i="50"/>
  <c r="D451" i="50" s="1"/>
  <c r="C393" i="50"/>
  <c r="C451" i="50" s="1"/>
  <c r="B393" i="50"/>
  <c r="B451" i="50" s="1"/>
  <c r="K381" i="50"/>
  <c r="K369" i="50"/>
  <c r="K348" i="50"/>
  <c r="K347" i="50"/>
  <c r="K256" i="50"/>
  <c r="K295" i="50" s="1"/>
  <c r="J256" i="50"/>
  <c r="J295" i="50" s="1"/>
  <c r="I256" i="50"/>
  <c r="G256" i="50"/>
  <c r="F256" i="50"/>
  <c r="F295" i="50" s="1"/>
  <c r="E256" i="50"/>
  <c r="F274" i="50"/>
  <c r="G274" i="50"/>
  <c r="I274" i="50"/>
  <c r="J274" i="50"/>
  <c r="K274" i="50"/>
  <c r="E274" i="50"/>
  <c r="E275" i="50"/>
  <c r="F271" i="50"/>
  <c r="G271" i="50"/>
  <c r="J271" i="50"/>
  <c r="E271" i="50"/>
  <c r="F270" i="50"/>
  <c r="G270" i="50"/>
  <c r="I270" i="50"/>
  <c r="J270" i="50"/>
  <c r="K270" i="50"/>
  <c r="E270" i="50"/>
  <c r="K268" i="50"/>
  <c r="J268" i="50"/>
  <c r="I268" i="50"/>
  <c r="G268" i="50"/>
  <c r="F268" i="50"/>
  <c r="E268" i="50"/>
  <c r="C275" i="50"/>
  <c r="D275" i="50"/>
  <c r="F275" i="50"/>
  <c r="G275" i="50"/>
  <c r="I275" i="50"/>
  <c r="J275" i="50"/>
  <c r="K275" i="50"/>
  <c r="C274" i="50"/>
  <c r="D274" i="50"/>
  <c r="C271" i="50"/>
  <c r="D271" i="50"/>
  <c r="C270" i="50"/>
  <c r="D270" i="50"/>
  <c r="C269" i="50"/>
  <c r="D269" i="50"/>
  <c r="E269" i="50"/>
  <c r="F269" i="50"/>
  <c r="G269" i="50"/>
  <c r="I269" i="50"/>
  <c r="J269" i="50"/>
  <c r="K269" i="50"/>
  <c r="C268" i="50"/>
  <c r="D268" i="50"/>
  <c r="C266" i="50"/>
  <c r="D266" i="50"/>
  <c r="E266" i="50"/>
  <c r="F266" i="50"/>
  <c r="G266" i="50"/>
  <c r="I266" i="50"/>
  <c r="J266" i="50"/>
  <c r="K266" i="50"/>
  <c r="C265" i="50"/>
  <c r="D265" i="50"/>
  <c r="E265" i="50"/>
  <c r="F265" i="50"/>
  <c r="G265" i="50"/>
  <c r="I265" i="50"/>
  <c r="J265" i="50"/>
  <c r="K265" i="50"/>
  <c r="C264" i="50"/>
  <c r="D264" i="50"/>
  <c r="E264" i="50"/>
  <c r="F264" i="50"/>
  <c r="G264" i="50"/>
  <c r="J264" i="50"/>
  <c r="C263" i="50"/>
  <c r="D263" i="50"/>
  <c r="E263" i="50"/>
  <c r="F263" i="50"/>
  <c r="G263" i="50"/>
  <c r="I263" i="50"/>
  <c r="J263" i="50"/>
  <c r="K263" i="50"/>
  <c r="C261" i="50"/>
  <c r="D261" i="50"/>
  <c r="E261" i="50"/>
  <c r="F261" i="50"/>
  <c r="G261" i="50"/>
  <c r="I261" i="50"/>
  <c r="J261" i="50"/>
  <c r="K261" i="50"/>
  <c r="C260" i="50"/>
  <c r="C282" i="50" s="1"/>
  <c r="C302" i="50" s="1"/>
  <c r="D260" i="50"/>
  <c r="E260" i="50"/>
  <c r="F260" i="50"/>
  <c r="G260" i="50"/>
  <c r="I260" i="50"/>
  <c r="J260" i="50"/>
  <c r="K260" i="50"/>
  <c r="C256" i="50"/>
  <c r="D256" i="50"/>
  <c r="D295" i="50" s="1"/>
  <c r="B275" i="50"/>
  <c r="B274" i="50"/>
  <c r="B271" i="50"/>
  <c r="B270" i="50"/>
  <c r="B269" i="50"/>
  <c r="B268" i="50"/>
  <c r="B266" i="50"/>
  <c r="B265" i="50"/>
  <c r="B264" i="50"/>
  <c r="B263" i="50"/>
  <c r="B261" i="50"/>
  <c r="B260" i="50"/>
  <c r="B256" i="50"/>
  <c r="B295" i="50" s="1"/>
  <c r="C238" i="50"/>
  <c r="D238" i="50"/>
  <c r="E238" i="50"/>
  <c r="F238" i="50"/>
  <c r="F243" i="50" s="1"/>
  <c r="F301" i="50" s="1"/>
  <c r="G238" i="50"/>
  <c r="I238" i="50"/>
  <c r="J238" i="50"/>
  <c r="K238" i="50"/>
  <c r="C237" i="50"/>
  <c r="D237" i="50"/>
  <c r="E237" i="50"/>
  <c r="F237" i="50"/>
  <c r="G237" i="50"/>
  <c r="I237" i="50"/>
  <c r="J237" i="50"/>
  <c r="K237" i="50"/>
  <c r="K243" i="50" s="1"/>
  <c r="K301" i="50" s="1"/>
  <c r="C233" i="50"/>
  <c r="C228" i="50" s="1"/>
  <c r="D233" i="50"/>
  <c r="D228" i="50" s="1"/>
  <c r="E233" i="50"/>
  <c r="E228" i="50" s="1"/>
  <c r="F233" i="50"/>
  <c r="F228" i="50" s="1"/>
  <c r="G233" i="50"/>
  <c r="G228" i="50" s="1"/>
  <c r="I233" i="50"/>
  <c r="I228" i="50" s="1"/>
  <c r="J233" i="50"/>
  <c r="J228" i="50" s="1"/>
  <c r="K233" i="50"/>
  <c r="K228" i="50" s="1"/>
  <c r="K230" i="50" s="1"/>
  <c r="B238" i="50"/>
  <c r="B237" i="50"/>
  <c r="B233" i="50"/>
  <c r="B228" i="50" s="1"/>
  <c r="C64" i="50"/>
  <c r="D64" i="50"/>
  <c r="E64" i="50"/>
  <c r="F64" i="50"/>
  <c r="G64" i="50"/>
  <c r="I64" i="50"/>
  <c r="J64" i="50"/>
  <c r="B64" i="50"/>
  <c r="C64" i="49"/>
  <c r="D64" i="49"/>
  <c r="E64" i="49"/>
  <c r="F64" i="49"/>
  <c r="G64" i="49"/>
  <c r="I64" i="49"/>
  <c r="J64" i="49"/>
  <c r="B64" i="49"/>
  <c r="C64" i="48"/>
  <c r="D64" i="48"/>
  <c r="E64" i="48"/>
  <c r="F64" i="48"/>
  <c r="G64" i="48"/>
  <c r="I64" i="48"/>
  <c r="J64" i="48"/>
  <c r="B64" i="48"/>
  <c r="J64" i="47"/>
  <c r="I64" i="47"/>
  <c r="G64" i="47"/>
  <c r="F64" i="47"/>
  <c r="E64" i="47"/>
  <c r="D64" i="47"/>
  <c r="C64" i="47"/>
  <c r="B64" i="47"/>
  <c r="J187" i="50"/>
  <c r="G187" i="50"/>
  <c r="F187" i="50"/>
  <c r="E187" i="50"/>
  <c r="D168" i="50"/>
  <c r="D166" i="50" s="1"/>
  <c r="D292" i="50" s="1"/>
  <c r="E168" i="50"/>
  <c r="E166" i="50" s="1"/>
  <c r="E292" i="50" s="1"/>
  <c r="F168" i="50"/>
  <c r="F166" i="50" s="1"/>
  <c r="F292" i="50" s="1"/>
  <c r="G168" i="50"/>
  <c r="G166" i="50" s="1"/>
  <c r="I168" i="50"/>
  <c r="J168" i="50"/>
  <c r="J166" i="50" s="1"/>
  <c r="K168" i="50"/>
  <c r="C168" i="50"/>
  <c r="C166" i="50" s="1"/>
  <c r="C292" i="50" s="1"/>
  <c r="B168" i="50"/>
  <c r="C195" i="50"/>
  <c r="D195" i="50"/>
  <c r="E195" i="50"/>
  <c r="F195" i="50"/>
  <c r="G195" i="50"/>
  <c r="I195" i="50"/>
  <c r="J195" i="50"/>
  <c r="K195" i="50"/>
  <c r="C194" i="50"/>
  <c r="D194" i="50"/>
  <c r="E194" i="50"/>
  <c r="F194" i="50"/>
  <c r="G194" i="50"/>
  <c r="I194" i="50"/>
  <c r="J194" i="50"/>
  <c r="K194" i="50"/>
  <c r="C193" i="50"/>
  <c r="D193" i="50"/>
  <c r="E193" i="50"/>
  <c r="F193" i="50"/>
  <c r="G193" i="50"/>
  <c r="I193" i="50"/>
  <c r="J193" i="50"/>
  <c r="C191" i="50"/>
  <c r="D191" i="50"/>
  <c r="E191" i="50"/>
  <c r="F191" i="50"/>
  <c r="G191" i="50"/>
  <c r="I191" i="50"/>
  <c r="J191" i="50"/>
  <c r="K191" i="50"/>
  <c r="C190" i="50"/>
  <c r="D190" i="50"/>
  <c r="E190" i="50"/>
  <c r="F190" i="50"/>
  <c r="G190" i="50"/>
  <c r="J190" i="50"/>
  <c r="C188" i="50"/>
  <c r="D188" i="50"/>
  <c r="E188" i="50"/>
  <c r="F188" i="50"/>
  <c r="G188" i="50"/>
  <c r="I188" i="50"/>
  <c r="J188" i="50"/>
  <c r="K188" i="50"/>
  <c r="C187" i="50"/>
  <c r="D187" i="50"/>
  <c r="C186" i="50"/>
  <c r="D186" i="50"/>
  <c r="E186" i="50"/>
  <c r="F186" i="50"/>
  <c r="G186" i="50"/>
  <c r="I186" i="50"/>
  <c r="J186" i="50"/>
  <c r="K186" i="50"/>
  <c r="C185" i="50"/>
  <c r="D185" i="50"/>
  <c r="E185" i="50"/>
  <c r="F185" i="50"/>
  <c r="G185" i="50"/>
  <c r="I185" i="50"/>
  <c r="J185" i="50"/>
  <c r="K185" i="50"/>
  <c r="C184" i="50"/>
  <c r="D184" i="50"/>
  <c r="E184" i="50"/>
  <c r="F184" i="50"/>
  <c r="G184" i="50"/>
  <c r="J184" i="50"/>
  <c r="C183" i="50"/>
  <c r="D183" i="50"/>
  <c r="E183" i="50"/>
  <c r="F183" i="50"/>
  <c r="G183" i="50"/>
  <c r="J183" i="50"/>
  <c r="C182" i="50"/>
  <c r="D182" i="50"/>
  <c r="E182" i="50"/>
  <c r="F182" i="50"/>
  <c r="G182" i="50"/>
  <c r="I182" i="50"/>
  <c r="J182" i="50"/>
  <c r="K182" i="50"/>
  <c r="C181" i="50"/>
  <c r="D181" i="50"/>
  <c r="E181" i="50"/>
  <c r="F181" i="50"/>
  <c r="G181" i="50"/>
  <c r="I181" i="50"/>
  <c r="J181" i="50"/>
  <c r="K181" i="50"/>
  <c r="C180" i="50"/>
  <c r="D180" i="50"/>
  <c r="E180" i="50"/>
  <c r="F180" i="50"/>
  <c r="G180" i="50"/>
  <c r="I180" i="50"/>
  <c r="J180" i="50"/>
  <c r="K180" i="50"/>
  <c r="C179" i="50"/>
  <c r="D179" i="50"/>
  <c r="E179" i="50"/>
  <c r="F179" i="50"/>
  <c r="G179" i="50"/>
  <c r="I179" i="50"/>
  <c r="J179" i="50"/>
  <c r="K179" i="50"/>
  <c r="C178" i="50"/>
  <c r="D178" i="50"/>
  <c r="E178" i="50"/>
  <c r="F178" i="50"/>
  <c r="G178" i="50"/>
  <c r="I178" i="50"/>
  <c r="J178" i="50"/>
  <c r="K178" i="50"/>
  <c r="C177" i="50"/>
  <c r="D177" i="50"/>
  <c r="E177" i="50"/>
  <c r="F177" i="50"/>
  <c r="G177" i="50"/>
  <c r="I177" i="50"/>
  <c r="J177" i="50"/>
  <c r="K177" i="50"/>
  <c r="C176" i="50"/>
  <c r="D176" i="50"/>
  <c r="E176" i="50"/>
  <c r="F176" i="50"/>
  <c r="G176" i="50"/>
  <c r="I176" i="50"/>
  <c r="J176" i="50"/>
  <c r="K176" i="50"/>
  <c r="D174" i="50"/>
  <c r="E174" i="50"/>
  <c r="F174" i="50"/>
  <c r="G174" i="50"/>
  <c r="J174" i="50"/>
  <c r="C174" i="50"/>
  <c r="B195" i="50"/>
  <c r="B194" i="50"/>
  <c r="B193" i="50"/>
  <c r="B191" i="50"/>
  <c r="B190" i="50"/>
  <c r="B188" i="50"/>
  <c r="B187" i="50"/>
  <c r="B186" i="50"/>
  <c r="B185" i="50"/>
  <c r="B184" i="50"/>
  <c r="B183" i="50"/>
  <c r="B182" i="50"/>
  <c r="B181" i="50"/>
  <c r="B180" i="50"/>
  <c r="B179" i="50"/>
  <c r="B178" i="50"/>
  <c r="B177" i="50"/>
  <c r="B176" i="50"/>
  <c r="B174" i="50"/>
  <c r="D173" i="50"/>
  <c r="E173" i="50"/>
  <c r="F173" i="50"/>
  <c r="G173" i="50"/>
  <c r="C173" i="50"/>
  <c r="B173" i="50"/>
  <c r="K172" i="50"/>
  <c r="J172" i="50"/>
  <c r="I172" i="50"/>
  <c r="G172" i="50"/>
  <c r="F172" i="50"/>
  <c r="E172" i="50"/>
  <c r="D172" i="50"/>
  <c r="C172" i="50"/>
  <c r="B172" i="50"/>
  <c r="I295" i="50"/>
  <c r="G295" i="50"/>
  <c r="E295" i="50"/>
  <c r="K280" i="50"/>
  <c r="K279" i="50"/>
  <c r="K278" i="50"/>
  <c r="K277" i="50"/>
  <c r="K262" i="50"/>
  <c r="C295" i="50"/>
  <c r="E243" i="50"/>
  <c r="E301" i="50" s="1"/>
  <c r="D243" i="50"/>
  <c r="D301" i="50" s="1"/>
  <c r="C243" i="50"/>
  <c r="C301" i="50" s="1"/>
  <c r="B243" i="50"/>
  <c r="B301" i="50" s="1"/>
  <c r="K241" i="50"/>
  <c r="K240" i="50"/>
  <c r="K239" i="50"/>
  <c r="K231" i="50"/>
  <c r="K219" i="50"/>
  <c r="K198" i="50"/>
  <c r="K197" i="50"/>
  <c r="E106" i="50"/>
  <c r="F106" i="50"/>
  <c r="G106" i="50"/>
  <c r="K106" i="50"/>
  <c r="J106" i="50"/>
  <c r="I106" i="50"/>
  <c r="K125" i="50"/>
  <c r="J125" i="50"/>
  <c r="I125" i="50"/>
  <c r="G125" i="50"/>
  <c r="F125" i="50"/>
  <c r="E125" i="50"/>
  <c r="K124" i="50"/>
  <c r="J124" i="50"/>
  <c r="I124" i="50"/>
  <c r="G124" i="50"/>
  <c r="F124" i="50"/>
  <c r="E124" i="50"/>
  <c r="J121" i="50"/>
  <c r="G121" i="50"/>
  <c r="F121" i="50"/>
  <c r="E121" i="50"/>
  <c r="K120" i="50"/>
  <c r="J120" i="50"/>
  <c r="I120" i="50"/>
  <c r="G120" i="50"/>
  <c r="F120" i="50"/>
  <c r="E120" i="50"/>
  <c r="K119" i="50"/>
  <c r="J119" i="50"/>
  <c r="I119" i="50"/>
  <c r="G119" i="50"/>
  <c r="F119" i="50"/>
  <c r="E119" i="50"/>
  <c r="K118" i="50"/>
  <c r="J118" i="50"/>
  <c r="I118" i="50"/>
  <c r="G118" i="50"/>
  <c r="F118" i="50"/>
  <c r="E118" i="50"/>
  <c r="K116" i="50"/>
  <c r="J116" i="50"/>
  <c r="I116" i="50"/>
  <c r="G116" i="50"/>
  <c r="F116" i="50"/>
  <c r="E116" i="50"/>
  <c r="K115" i="50"/>
  <c r="J115" i="50"/>
  <c r="I115" i="50"/>
  <c r="G115" i="50"/>
  <c r="F115" i="50"/>
  <c r="E115" i="50"/>
  <c r="E43" i="50"/>
  <c r="E45" i="50"/>
  <c r="J40" i="50"/>
  <c r="G40" i="50"/>
  <c r="F40" i="50"/>
  <c r="E40" i="50"/>
  <c r="K38" i="50"/>
  <c r="J38" i="50"/>
  <c r="I38" i="50"/>
  <c r="G38" i="50"/>
  <c r="F38" i="50"/>
  <c r="E38" i="50"/>
  <c r="J37" i="50"/>
  <c r="G37" i="50"/>
  <c r="F37" i="50"/>
  <c r="E37" i="50"/>
  <c r="K35" i="50"/>
  <c r="J35" i="50"/>
  <c r="I35" i="50"/>
  <c r="G35" i="50"/>
  <c r="F35" i="50"/>
  <c r="E35" i="50"/>
  <c r="J34" i="50"/>
  <c r="G34" i="50"/>
  <c r="F34" i="50"/>
  <c r="E34" i="50"/>
  <c r="J33" i="50"/>
  <c r="G33" i="50"/>
  <c r="F33" i="50"/>
  <c r="E33" i="50"/>
  <c r="K31" i="50"/>
  <c r="J31" i="50"/>
  <c r="I31" i="50"/>
  <c r="G31" i="50"/>
  <c r="F31" i="50"/>
  <c r="E31" i="50"/>
  <c r="J24" i="50"/>
  <c r="G24" i="50"/>
  <c r="F24" i="50"/>
  <c r="E24" i="50"/>
  <c r="K145" i="50"/>
  <c r="J145" i="50"/>
  <c r="I145" i="50"/>
  <c r="G145" i="50"/>
  <c r="F145" i="50"/>
  <c r="E145" i="50"/>
  <c r="D142" i="50"/>
  <c r="C142" i="50"/>
  <c r="J136" i="50"/>
  <c r="K136" i="50" s="1"/>
  <c r="K130" i="50"/>
  <c r="K129" i="50"/>
  <c r="K128" i="50"/>
  <c r="K127" i="50"/>
  <c r="D125" i="50"/>
  <c r="C125" i="50"/>
  <c r="B125" i="50"/>
  <c r="D124" i="50"/>
  <c r="C124" i="50"/>
  <c r="B124" i="50"/>
  <c r="D121" i="50"/>
  <c r="C121" i="50"/>
  <c r="B121" i="50"/>
  <c r="D120" i="50"/>
  <c r="C120" i="50"/>
  <c r="B120" i="50"/>
  <c r="D119" i="50"/>
  <c r="C119" i="50"/>
  <c r="B119" i="50"/>
  <c r="D118" i="50"/>
  <c r="C118" i="50"/>
  <c r="B118" i="50"/>
  <c r="D116" i="50"/>
  <c r="C116" i="50"/>
  <c r="B116" i="50"/>
  <c r="D115" i="50"/>
  <c r="C115" i="50"/>
  <c r="B115" i="50"/>
  <c r="J114" i="50"/>
  <c r="G114" i="50"/>
  <c r="F114" i="50"/>
  <c r="E114" i="50"/>
  <c r="D114" i="50"/>
  <c r="C114" i="50"/>
  <c r="B114" i="50"/>
  <c r="K113" i="50"/>
  <c r="J113" i="50"/>
  <c r="I113" i="50"/>
  <c r="G113" i="50"/>
  <c r="F113" i="50"/>
  <c r="E113" i="50"/>
  <c r="D113" i="50"/>
  <c r="C113" i="50"/>
  <c r="B113" i="50"/>
  <c r="K112" i="50"/>
  <c r="J111" i="50"/>
  <c r="I111" i="50"/>
  <c r="G111" i="50"/>
  <c r="F111" i="50"/>
  <c r="E111" i="50"/>
  <c r="D111" i="50"/>
  <c r="C111" i="50"/>
  <c r="C132" i="50" s="1"/>
  <c r="C152" i="50" s="1"/>
  <c r="B111" i="50"/>
  <c r="K110" i="50"/>
  <c r="J110" i="50"/>
  <c r="I110" i="50"/>
  <c r="G110" i="50"/>
  <c r="F110" i="50"/>
  <c r="E110" i="50"/>
  <c r="E132" i="50" s="1"/>
  <c r="E152" i="50" s="1"/>
  <c r="D110" i="50"/>
  <c r="C110" i="50"/>
  <c r="B110" i="50"/>
  <c r="D106" i="50"/>
  <c r="D145" i="50" s="1"/>
  <c r="C106" i="50"/>
  <c r="C145" i="50" s="1"/>
  <c r="B106" i="50"/>
  <c r="B145" i="50" s="1"/>
  <c r="K97" i="50"/>
  <c r="D93" i="50"/>
  <c r="D151" i="50" s="1"/>
  <c r="C93" i="50"/>
  <c r="C151" i="50" s="1"/>
  <c r="B93" i="50"/>
  <c r="B151" i="50" s="1"/>
  <c r="K91" i="50"/>
  <c r="K90" i="50"/>
  <c r="K89" i="50"/>
  <c r="K88" i="50"/>
  <c r="J88" i="50"/>
  <c r="I88" i="50"/>
  <c r="G88" i="50"/>
  <c r="F88" i="50"/>
  <c r="E88" i="50"/>
  <c r="E93" i="50" s="1"/>
  <c r="E151" i="50" s="1"/>
  <c r="D88" i="50"/>
  <c r="C88" i="50"/>
  <c r="B88" i="50"/>
  <c r="K87" i="50"/>
  <c r="J87" i="50"/>
  <c r="J93" i="50" s="1"/>
  <c r="I87" i="50"/>
  <c r="I93" i="50" s="1"/>
  <c r="I151" i="50" s="1"/>
  <c r="G87" i="50"/>
  <c r="G93" i="50" s="1"/>
  <c r="G151" i="50" s="1"/>
  <c r="F87" i="50"/>
  <c r="F93" i="50" s="1"/>
  <c r="F151" i="50" s="1"/>
  <c r="E87" i="50"/>
  <c r="D87" i="50"/>
  <c r="C87" i="50"/>
  <c r="B87" i="50"/>
  <c r="J83" i="50"/>
  <c r="J78" i="50" s="1"/>
  <c r="J80" i="50" s="1"/>
  <c r="I83" i="50"/>
  <c r="G83" i="50"/>
  <c r="G78" i="50" s="1"/>
  <c r="F83" i="50"/>
  <c r="F78" i="50" s="1"/>
  <c r="E83" i="50"/>
  <c r="E78" i="50" s="1"/>
  <c r="D83" i="50"/>
  <c r="D78" i="50" s="1"/>
  <c r="C83" i="50"/>
  <c r="C78" i="50" s="1"/>
  <c r="B83" i="50"/>
  <c r="B78" i="50" s="1"/>
  <c r="K81" i="50"/>
  <c r="K69" i="50"/>
  <c r="K48" i="50"/>
  <c r="K47" i="50"/>
  <c r="J45" i="50"/>
  <c r="I45" i="50"/>
  <c r="G45" i="50"/>
  <c r="F45" i="50"/>
  <c r="D45" i="50"/>
  <c r="C45" i="50"/>
  <c r="B45" i="50"/>
  <c r="K44" i="50"/>
  <c r="J44" i="50"/>
  <c r="I44" i="50"/>
  <c r="G44" i="50"/>
  <c r="F44" i="50"/>
  <c r="E44" i="50"/>
  <c r="D44" i="50"/>
  <c r="C44" i="50"/>
  <c r="B44" i="50"/>
  <c r="J43" i="50"/>
  <c r="I43" i="50"/>
  <c r="G43" i="50"/>
  <c r="F43" i="50"/>
  <c r="D43" i="50"/>
  <c r="C43" i="50"/>
  <c r="B43" i="50"/>
  <c r="K41" i="50"/>
  <c r="J41" i="50"/>
  <c r="I41" i="50"/>
  <c r="G41" i="50"/>
  <c r="F41" i="50"/>
  <c r="E41" i="50"/>
  <c r="D41" i="50"/>
  <c r="C41" i="50"/>
  <c r="B41" i="50"/>
  <c r="D40" i="50"/>
  <c r="C40" i="50"/>
  <c r="B40" i="50"/>
  <c r="D38" i="50"/>
  <c r="C38" i="50"/>
  <c r="B38" i="50"/>
  <c r="D37" i="50"/>
  <c r="C37" i="50"/>
  <c r="B37" i="50"/>
  <c r="K36" i="50"/>
  <c r="J36" i="50"/>
  <c r="I36" i="50"/>
  <c r="G36" i="50"/>
  <c r="F36" i="50"/>
  <c r="E36" i="50"/>
  <c r="D36" i="50"/>
  <c r="C36" i="50"/>
  <c r="B36" i="50"/>
  <c r="D35" i="50"/>
  <c r="C35" i="50"/>
  <c r="B35" i="50"/>
  <c r="D34" i="50"/>
  <c r="C34" i="50"/>
  <c r="B34" i="50"/>
  <c r="D33" i="50"/>
  <c r="C33" i="50"/>
  <c r="B33" i="50"/>
  <c r="K32" i="50"/>
  <c r="J32" i="50"/>
  <c r="I32" i="50"/>
  <c r="G32" i="50"/>
  <c r="F32" i="50"/>
  <c r="E32" i="50"/>
  <c r="D32" i="50"/>
  <c r="C32" i="50"/>
  <c r="B32" i="50"/>
  <c r="D31" i="50"/>
  <c r="C31" i="50"/>
  <c r="B31" i="50"/>
  <c r="K30" i="50"/>
  <c r="J30" i="50"/>
  <c r="I30" i="50"/>
  <c r="G30" i="50"/>
  <c r="F30" i="50"/>
  <c r="E30" i="50"/>
  <c r="D30" i="50"/>
  <c r="C30" i="50"/>
  <c r="B30" i="50"/>
  <c r="K29" i="50"/>
  <c r="J29" i="50"/>
  <c r="I29" i="50"/>
  <c r="G29" i="50"/>
  <c r="F29" i="50"/>
  <c r="E29" i="50"/>
  <c r="D29" i="50"/>
  <c r="C29" i="50"/>
  <c r="B29" i="50"/>
  <c r="K28" i="50"/>
  <c r="J28" i="50"/>
  <c r="I28" i="50"/>
  <c r="G28" i="50"/>
  <c r="F28" i="50"/>
  <c r="E28" i="50"/>
  <c r="D28" i="50"/>
  <c r="C28" i="50"/>
  <c r="B28" i="50"/>
  <c r="K27" i="50"/>
  <c r="J27" i="50"/>
  <c r="I27" i="50"/>
  <c r="G27" i="50"/>
  <c r="F27" i="50"/>
  <c r="E27" i="50"/>
  <c r="D27" i="50"/>
  <c r="C27" i="50"/>
  <c r="B27" i="50"/>
  <c r="K26" i="50"/>
  <c r="J26" i="50"/>
  <c r="I26" i="50"/>
  <c r="G26" i="50"/>
  <c r="F26" i="50"/>
  <c r="E26" i="50"/>
  <c r="D26" i="50"/>
  <c r="C26" i="50"/>
  <c r="B26" i="50"/>
  <c r="D24" i="50"/>
  <c r="C24" i="50"/>
  <c r="B24" i="50"/>
  <c r="G23" i="50"/>
  <c r="F23" i="50"/>
  <c r="E23" i="50"/>
  <c r="D23" i="50"/>
  <c r="C23" i="50"/>
  <c r="B23" i="50"/>
  <c r="K22" i="50"/>
  <c r="J22" i="50"/>
  <c r="I22" i="50"/>
  <c r="G22" i="50"/>
  <c r="F22" i="50"/>
  <c r="E22" i="50"/>
  <c r="D22" i="50"/>
  <c r="C22" i="50"/>
  <c r="B22" i="50"/>
  <c r="K18" i="50"/>
  <c r="J18" i="50"/>
  <c r="J16" i="50" s="1"/>
  <c r="I18" i="50"/>
  <c r="G18" i="50"/>
  <c r="G16" i="50" s="1"/>
  <c r="F18" i="50"/>
  <c r="F16" i="50" s="1"/>
  <c r="E18" i="50"/>
  <c r="E16" i="50" s="1"/>
  <c r="E142" i="50" s="1"/>
  <c r="D18" i="50"/>
  <c r="C18" i="50"/>
  <c r="B18" i="50"/>
  <c r="D16" i="50"/>
  <c r="C16" i="50"/>
  <c r="I189" i="48"/>
  <c r="K43" i="49"/>
  <c r="J43" i="49"/>
  <c r="I43" i="49"/>
  <c r="G43" i="49"/>
  <c r="F43" i="49"/>
  <c r="E43" i="49"/>
  <c r="D43" i="49"/>
  <c r="C43" i="49"/>
  <c r="B43" i="49"/>
  <c r="K43" i="48"/>
  <c r="J43" i="48"/>
  <c r="I43" i="48"/>
  <c r="G43" i="48"/>
  <c r="F43" i="48"/>
  <c r="E43" i="48"/>
  <c r="D43" i="48"/>
  <c r="C43" i="48"/>
  <c r="B43" i="48"/>
  <c r="J43" i="47"/>
  <c r="I43" i="47"/>
  <c r="G43" i="47"/>
  <c r="F43" i="47"/>
  <c r="E43" i="47"/>
  <c r="D43" i="47"/>
  <c r="C43" i="47"/>
  <c r="B43" i="47"/>
  <c r="J189" i="49"/>
  <c r="F189" i="49"/>
  <c r="F196" i="49" s="1"/>
  <c r="J178" i="49" s="1"/>
  <c r="E189" i="49"/>
  <c r="K181" i="49"/>
  <c r="J181" i="49"/>
  <c r="I181" i="49"/>
  <c r="G181" i="49"/>
  <c r="F181" i="49"/>
  <c r="E181" i="49"/>
  <c r="D181" i="49"/>
  <c r="D196" i="49" s="1"/>
  <c r="C181" i="49"/>
  <c r="C192" i="49" s="1"/>
  <c r="B181" i="49"/>
  <c r="J180" i="49"/>
  <c r="K180" i="49" s="1"/>
  <c r="D189" i="49"/>
  <c r="C189" i="49"/>
  <c r="B189" i="49"/>
  <c r="D187" i="49"/>
  <c r="C187" i="49"/>
  <c r="B187" i="49"/>
  <c r="D186" i="49"/>
  <c r="C186" i="49"/>
  <c r="B186" i="49"/>
  <c r="D184" i="49"/>
  <c r="D192" i="49" s="1"/>
  <c r="C184" i="49"/>
  <c r="B184" i="49"/>
  <c r="D183" i="49"/>
  <c r="C183" i="49"/>
  <c r="B183" i="49"/>
  <c r="B192" i="49"/>
  <c r="K194" i="48"/>
  <c r="E192" i="48"/>
  <c r="K190" i="48"/>
  <c r="J190" i="48"/>
  <c r="J189" i="48"/>
  <c r="F189" i="48"/>
  <c r="E189" i="48"/>
  <c r="D189" i="48"/>
  <c r="C189" i="48"/>
  <c r="B189" i="48"/>
  <c r="J192" i="48"/>
  <c r="K187" i="48"/>
  <c r="J187" i="48"/>
  <c r="I187" i="48"/>
  <c r="G187" i="48"/>
  <c r="F187" i="48"/>
  <c r="E187" i="48"/>
  <c r="D187" i="48"/>
  <c r="C187" i="48"/>
  <c r="B187" i="48"/>
  <c r="K186" i="48"/>
  <c r="J186" i="48"/>
  <c r="I186" i="48"/>
  <c r="G186" i="48"/>
  <c r="F186" i="48"/>
  <c r="E186" i="48"/>
  <c r="D186" i="48"/>
  <c r="C186" i="48"/>
  <c r="B186" i="48"/>
  <c r="J185" i="48"/>
  <c r="K185" i="48" s="1"/>
  <c r="K184" i="48"/>
  <c r="J184" i="48"/>
  <c r="I184" i="48"/>
  <c r="G184" i="48"/>
  <c r="F184" i="48"/>
  <c r="E184" i="48"/>
  <c r="D184" i="48"/>
  <c r="C184" i="48"/>
  <c r="B184" i="48"/>
  <c r="K183" i="48"/>
  <c r="J183" i="48"/>
  <c r="I183" i="48"/>
  <c r="G183" i="48"/>
  <c r="F183" i="48"/>
  <c r="E183" i="48"/>
  <c r="D183" i="48"/>
  <c r="C183" i="48"/>
  <c r="B183" i="48"/>
  <c r="J182" i="48"/>
  <c r="K182" i="48" s="1"/>
  <c r="K181" i="48"/>
  <c r="J181" i="48"/>
  <c r="I181" i="48"/>
  <c r="G181" i="48"/>
  <c r="F181" i="48"/>
  <c r="F196" i="48" s="1"/>
  <c r="J178" i="48" s="1"/>
  <c r="J196" i="48" s="1"/>
  <c r="E181" i="48"/>
  <c r="E196" i="48" s="1"/>
  <c r="D181" i="48"/>
  <c r="D192" i="48" s="1"/>
  <c r="C181" i="48"/>
  <c r="C196" i="48" s="1"/>
  <c r="B181" i="48"/>
  <c r="B196" i="48" s="1"/>
  <c r="J180" i="48"/>
  <c r="K180" i="48" s="1"/>
  <c r="F192" i="47"/>
  <c r="E192" i="47"/>
  <c r="D192" i="47"/>
  <c r="C192" i="47"/>
  <c r="J189" i="47"/>
  <c r="F189" i="47"/>
  <c r="E189" i="47"/>
  <c r="D189" i="47"/>
  <c r="C189" i="47"/>
  <c r="K187" i="47"/>
  <c r="J187" i="47"/>
  <c r="I187" i="47"/>
  <c r="G187" i="47"/>
  <c r="F187" i="47"/>
  <c r="E187" i="47"/>
  <c r="D187" i="47"/>
  <c r="C187" i="47"/>
  <c r="K186" i="47"/>
  <c r="J186" i="47"/>
  <c r="I186" i="47"/>
  <c r="G186" i="47"/>
  <c r="F186" i="47"/>
  <c r="E186" i="47"/>
  <c r="D186" i="47"/>
  <c r="C186" i="47"/>
  <c r="K184" i="47"/>
  <c r="J184" i="47"/>
  <c r="I184" i="47"/>
  <c r="G184" i="47"/>
  <c r="F184" i="47"/>
  <c r="E184" i="47"/>
  <c r="D184" i="47"/>
  <c r="C184" i="47"/>
  <c r="K183" i="47"/>
  <c r="J183" i="47"/>
  <c r="I183" i="47"/>
  <c r="G183" i="47"/>
  <c r="F183" i="47"/>
  <c r="E183" i="47"/>
  <c r="D183" i="47"/>
  <c r="C183" i="47"/>
  <c r="K181" i="47"/>
  <c r="J181" i="47"/>
  <c r="I181" i="47"/>
  <c r="G181" i="47"/>
  <c r="F181" i="47"/>
  <c r="E181" i="47"/>
  <c r="D181" i="47"/>
  <c r="C181" i="47"/>
  <c r="B189" i="47"/>
  <c r="B187" i="47"/>
  <c r="B186" i="47"/>
  <c r="B184" i="47"/>
  <c r="B183" i="47"/>
  <c r="B181" i="47"/>
  <c r="E196" i="49"/>
  <c r="J125" i="49"/>
  <c r="F125" i="49"/>
  <c r="E125" i="49"/>
  <c r="J124" i="49"/>
  <c r="F124" i="49"/>
  <c r="E121" i="49"/>
  <c r="J118" i="49"/>
  <c r="F118" i="49"/>
  <c r="E118" i="49"/>
  <c r="F37" i="49"/>
  <c r="E37" i="49"/>
  <c r="G23" i="49"/>
  <c r="F23" i="49"/>
  <c r="E23" i="49"/>
  <c r="K260" i="49"/>
  <c r="K256" i="49"/>
  <c r="J256" i="49"/>
  <c r="I256" i="49"/>
  <c r="G256" i="49"/>
  <c r="F256" i="49"/>
  <c r="E256" i="49"/>
  <c r="D256" i="49"/>
  <c r="C256" i="49"/>
  <c r="B256" i="49"/>
  <c r="K255" i="49"/>
  <c r="J255" i="49"/>
  <c r="I255" i="49"/>
  <c r="G255" i="49"/>
  <c r="F255" i="49"/>
  <c r="E255" i="49"/>
  <c r="D255" i="49"/>
  <c r="C255" i="49"/>
  <c r="B255" i="49"/>
  <c r="K254" i="49"/>
  <c r="K253" i="49"/>
  <c r="K258" i="49" s="1"/>
  <c r="J253" i="49"/>
  <c r="J262" i="49" s="1"/>
  <c r="I253" i="49"/>
  <c r="I258" i="49" s="1"/>
  <c r="G253" i="49"/>
  <c r="G258" i="49" s="1"/>
  <c r="F253" i="49"/>
  <c r="F262" i="49" s="1"/>
  <c r="E253" i="49"/>
  <c r="E262" i="49" s="1"/>
  <c r="D253" i="49"/>
  <c r="D258" i="49" s="1"/>
  <c r="C253" i="49"/>
  <c r="C258" i="49" s="1"/>
  <c r="B253" i="49"/>
  <c r="B262" i="49" s="1"/>
  <c r="K244" i="49"/>
  <c r="G242" i="49"/>
  <c r="C242" i="49"/>
  <c r="K240" i="49"/>
  <c r="J240" i="49"/>
  <c r="I240" i="49"/>
  <c r="G240" i="49"/>
  <c r="F240" i="49"/>
  <c r="E240" i="49"/>
  <c r="D240" i="49"/>
  <c r="D242" i="49" s="1"/>
  <c r="C240" i="49"/>
  <c r="B240" i="49"/>
  <c r="K231" i="49"/>
  <c r="J231" i="49"/>
  <c r="J246" i="49" s="1"/>
  <c r="I231" i="49"/>
  <c r="G231" i="49"/>
  <c r="F231" i="49"/>
  <c r="E231" i="49"/>
  <c r="E246" i="49" s="1"/>
  <c r="D231" i="49"/>
  <c r="C231" i="49"/>
  <c r="B231" i="49"/>
  <c r="J229" i="49"/>
  <c r="J242" i="49" s="1"/>
  <c r="G229" i="49"/>
  <c r="G246" i="49" s="1"/>
  <c r="K226" i="49" s="1"/>
  <c r="F229" i="49"/>
  <c r="F246" i="49" s="1"/>
  <c r="E229" i="49"/>
  <c r="E242" i="49" s="1"/>
  <c r="D229" i="49"/>
  <c r="D246" i="49" s="1"/>
  <c r="C229" i="49"/>
  <c r="C246" i="49" s="1"/>
  <c r="B229" i="49"/>
  <c r="B246" i="49" s="1"/>
  <c r="K219" i="49"/>
  <c r="J215" i="49"/>
  <c r="G215" i="49"/>
  <c r="F215" i="49"/>
  <c r="E215" i="49"/>
  <c r="D215" i="49"/>
  <c r="C215" i="49"/>
  <c r="B215" i="49"/>
  <c r="K214" i="49"/>
  <c r="J214" i="49"/>
  <c r="I214" i="49"/>
  <c r="G214" i="49"/>
  <c r="F214" i="49"/>
  <c r="E214" i="49"/>
  <c r="D214" i="49"/>
  <c r="C214" i="49"/>
  <c r="B214" i="49"/>
  <c r="J213" i="49"/>
  <c r="I213" i="49"/>
  <c r="G213" i="49"/>
  <c r="F213" i="49"/>
  <c r="E213" i="49"/>
  <c r="D213" i="49"/>
  <c r="C213" i="49"/>
  <c r="B213" i="49"/>
  <c r="K212" i="49"/>
  <c r="K211" i="49"/>
  <c r="K210" i="49"/>
  <c r="K209" i="49"/>
  <c r="K208" i="49"/>
  <c r="J208" i="49"/>
  <c r="I208" i="49"/>
  <c r="G208" i="49"/>
  <c r="F208" i="49"/>
  <c r="E208" i="49"/>
  <c r="D208" i="49"/>
  <c r="C208" i="49"/>
  <c r="B208" i="49"/>
  <c r="K207" i="49"/>
  <c r="J207" i="49"/>
  <c r="I207" i="49"/>
  <c r="G207" i="49"/>
  <c r="F207" i="49"/>
  <c r="E207" i="49"/>
  <c r="D207" i="49"/>
  <c r="C207" i="49"/>
  <c r="B207" i="49"/>
  <c r="K206" i="49"/>
  <c r="J206" i="49"/>
  <c r="I206" i="49"/>
  <c r="G206" i="49"/>
  <c r="F206" i="49"/>
  <c r="F221" i="49" s="1"/>
  <c r="E206" i="49"/>
  <c r="D206" i="49"/>
  <c r="C206" i="49"/>
  <c r="B206" i="49"/>
  <c r="B221" i="49" s="1"/>
  <c r="K205" i="49"/>
  <c r="J205" i="49"/>
  <c r="I205" i="49"/>
  <c r="G205" i="49"/>
  <c r="F205" i="49"/>
  <c r="E205" i="49"/>
  <c r="D205" i="49"/>
  <c r="C205" i="49"/>
  <c r="C221" i="49" s="1"/>
  <c r="B205" i="49"/>
  <c r="K204" i="49"/>
  <c r="J204" i="49"/>
  <c r="J217" i="49" s="1"/>
  <c r="I204" i="49"/>
  <c r="G204" i="49"/>
  <c r="G217" i="49" s="1"/>
  <c r="F204" i="49"/>
  <c r="F217" i="49" s="1"/>
  <c r="E204" i="49"/>
  <c r="E217" i="49" s="1"/>
  <c r="D204" i="49"/>
  <c r="D217" i="49" s="1"/>
  <c r="C204" i="49"/>
  <c r="C217" i="49" s="1"/>
  <c r="B204" i="49"/>
  <c r="B217" i="49" s="1"/>
  <c r="K201" i="49"/>
  <c r="K194" i="49"/>
  <c r="J190" i="49"/>
  <c r="K190" i="49" s="1"/>
  <c r="J188" i="49"/>
  <c r="K188" i="49" s="1"/>
  <c r="J187" i="49"/>
  <c r="K187" i="49" s="1"/>
  <c r="J186" i="49"/>
  <c r="K186" i="49" s="1"/>
  <c r="J185" i="49"/>
  <c r="K185" i="49" s="1"/>
  <c r="J184" i="49"/>
  <c r="K184" i="49" s="1"/>
  <c r="J183" i="49"/>
  <c r="K183" i="49" s="1"/>
  <c r="J182" i="49"/>
  <c r="K182" i="49" s="1"/>
  <c r="E173" i="49"/>
  <c r="K171" i="49"/>
  <c r="G169" i="49"/>
  <c r="C169" i="49"/>
  <c r="G167" i="49"/>
  <c r="F167" i="49"/>
  <c r="E167" i="49"/>
  <c r="D167" i="49"/>
  <c r="C167" i="49"/>
  <c r="B167" i="49"/>
  <c r="K165" i="49"/>
  <c r="K164" i="49"/>
  <c r="J164" i="49"/>
  <c r="I164" i="49"/>
  <c r="G164" i="49"/>
  <c r="F164" i="49"/>
  <c r="F173" i="49" s="1"/>
  <c r="E164" i="49"/>
  <c r="D164" i="49"/>
  <c r="C164" i="49"/>
  <c r="B164" i="49"/>
  <c r="B173" i="49" s="1"/>
  <c r="K163" i="49"/>
  <c r="K162" i="49"/>
  <c r="J162" i="49"/>
  <c r="I162" i="49"/>
  <c r="G162" i="49"/>
  <c r="G173" i="49" s="1"/>
  <c r="K160" i="49" s="1"/>
  <c r="F162" i="49"/>
  <c r="F169" i="49" s="1"/>
  <c r="E162" i="49"/>
  <c r="E169" i="49" s="1"/>
  <c r="D162" i="49"/>
  <c r="D169" i="49" s="1"/>
  <c r="C162" i="49"/>
  <c r="C173" i="49" s="1"/>
  <c r="B162" i="49"/>
  <c r="B169" i="49" s="1"/>
  <c r="D145" i="49"/>
  <c r="J136" i="49"/>
  <c r="K136" i="49" s="1"/>
  <c r="K130" i="49"/>
  <c r="K129" i="49"/>
  <c r="K128" i="49"/>
  <c r="K127" i="49"/>
  <c r="D125" i="49"/>
  <c r="C125" i="49"/>
  <c r="B125" i="49"/>
  <c r="E124" i="49"/>
  <c r="D124" i="49"/>
  <c r="C124" i="49"/>
  <c r="B124" i="49"/>
  <c r="F121" i="49"/>
  <c r="D121" i="49"/>
  <c r="C121" i="49"/>
  <c r="B121" i="49"/>
  <c r="F119" i="49"/>
  <c r="E119" i="49"/>
  <c r="D119" i="49"/>
  <c r="C119" i="49"/>
  <c r="B119" i="49"/>
  <c r="D118" i="49"/>
  <c r="C118" i="49"/>
  <c r="B118" i="49"/>
  <c r="F116" i="49"/>
  <c r="E116" i="49"/>
  <c r="D116" i="49"/>
  <c r="C116" i="49"/>
  <c r="B116" i="49"/>
  <c r="J115" i="49"/>
  <c r="F115" i="49"/>
  <c r="E115" i="49"/>
  <c r="D115" i="49"/>
  <c r="C115" i="49"/>
  <c r="B115" i="49"/>
  <c r="K113" i="49"/>
  <c r="J113" i="49"/>
  <c r="I113" i="49"/>
  <c r="G113" i="49"/>
  <c r="F113" i="49"/>
  <c r="E113" i="49"/>
  <c r="D113" i="49"/>
  <c r="C113" i="49"/>
  <c r="B113" i="49"/>
  <c r="K112" i="49"/>
  <c r="J111" i="49"/>
  <c r="I111" i="49"/>
  <c r="G111" i="49"/>
  <c r="F111" i="49"/>
  <c r="E111" i="49"/>
  <c r="D111" i="49"/>
  <c r="C111" i="49"/>
  <c r="B111" i="49"/>
  <c r="K110" i="49"/>
  <c r="J110" i="49"/>
  <c r="I110" i="49"/>
  <c r="G110" i="49"/>
  <c r="F110" i="49"/>
  <c r="E110" i="49"/>
  <c r="D110" i="49"/>
  <c r="C110" i="49"/>
  <c r="B110" i="49"/>
  <c r="J106" i="49"/>
  <c r="F106" i="49"/>
  <c r="E106" i="49"/>
  <c r="D106" i="49"/>
  <c r="C106" i="49"/>
  <c r="C145" i="49" s="1"/>
  <c r="B106" i="49"/>
  <c r="K97" i="49"/>
  <c r="K91" i="49"/>
  <c r="K90" i="49"/>
  <c r="K89" i="49"/>
  <c r="K87" i="49"/>
  <c r="J87" i="49"/>
  <c r="I87" i="49"/>
  <c r="F87" i="49"/>
  <c r="E87" i="49"/>
  <c r="D87" i="49"/>
  <c r="C87" i="49"/>
  <c r="B87" i="49"/>
  <c r="J83" i="49"/>
  <c r="J78" i="49" s="1"/>
  <c r="I83" i="49"/>
  <c r="G83" i="49"/>
  <c r="F83" i="49"/>
  <c r="E83" i="49"/>
  <c r="E78" i="49" s="1"/>
  <c r="D83" i="49"/>
  <c r="D78" i="49" s="1"/>
  <c r="C83" i="49"/>
  <c r="B83" i="49"/>
  <c r="K81" i="49"/>
  <c r="F80" i="49"/>
  <c r="C80" i="49"/>
  <c r="B80" i="49"/>
  <c r="F78" i="49"/>
  <c r="F144" i="49" s="1"/>
  <c r="C78" i="49"/>
  <c r="B78" i="49"/>
  <c r="B144" i="49" s="1"/>
  <c r="K69" i="49"/>
  <c r="K48" i="49"/>
  <c r="K47" i="49"/>
  <c r="J45" i="49"/>
  <c r="I45" i="49"/>
  <c r="G45" i="49"/>
  <c r="F45" i="49"/>
  <c r="E45" i="49"/>
  <c r="D45" i="49"/>
  <c r="C45" i="49"/>
  <c r="B45" i="49"/>
  <c r="K44" i="49"/>
  <c r="J44" i="49"/>
  <c r="I44" i="49"/>
  <c r="G44" i="49"/>
  <c r="F44" i="49"/>
  <c r="E44" i="49"/>
  <c r="D44" i="49"/>
  <c r="C44" i="49"/>
  <c r="B44" i="49"/>
  <c r="K41" i="49"/>
  <c r="J41" i="49"/>
  <c r="I41" i="49"/>
  <c r="G41" i="49"/>
  <c r="F41" i="49"/>
  <c r="E41" i="49"/>
  <c r="D41" i="49"/>
  <c r="C41" i="49"/>
  <c r="B41" i="49"/>
  <c r="J40" i="49"/>
  <c r="G40" i="49"/>
  <c r="F40" i="49"/>
  <c r="E40" i="49"/>
  <c r="D40" i="49"/>
  <c r="C40" i="49"/>
  <c r="B40" i="49"/>
  <c r="K38" i="49"/>
  <c r="J38" i="49"/>
  <c r="I38" i="49"/>
  <c r="F38" i="49"/>
  <c r="E38" i="49"/>
  <c r="D38" i="49"/>
  <c r="C38" i="49"/>
  <c r="B38" i="49"/>
  <c r="J37" i="49"/>
  <c r="D37" i="49"/>
  <c r="C37" i="49"/>
  <c r="B37" i="49"/>
  <c r="K36" i="49"/>
  <c r="J36" i="49"/>
  <c r="I36" i="49"/>
  <c r="G36" i="49"/>
  <c r="F36" i="49"/>
  <c r="E36" i="49"/>
  <c r="D36" i="49"/>
  <c r="C36" i="49"/>
  <c r="B36" i="49"/>
  <c r="K35" i="49"/>
  <c r="J35" i="49"/>
  <c r="I35" i="49"/>
  <c r="G35" i="49"/>
  <c r="F35" i="49"/>
  <c r="E35" i="49"/>
  <c r="D35" i="49"/>
  <c r="C35" i="49"/>
  <c r="B35" i="49"/>
  <c r="J34" i="49"/>
  <c r="G34" i="49"/>
  <c r="F34" i="49"/>
  <c r="E34" i="49"/>
  <c r="D34" i="49"/>
  <c r="C34" i="49"/>
  <c r="B34" i="49"/>
  <c r="J33" i="49"/>
  <c r="F33" i="49"/>
  <c r="E33" i="49"/>
  <c r="D33" i="49"/>
  <c r="C33" i="49"/>
  <c r="B33" i="49"/>
  <c r="K32" i="49"/>
  <c r="J32" i="49"/>
  <c r="I32" i="49"/>
  <c r="F32" i="49"/>
  <c r="E32" i="49"/>
  <c r="D32" i="49"/>
  <c r="C32" i="49"/>
  <c r="B32" i="49"/>
  <c r="K30" i="49"/>
  <c r="J30" i="49"/>
  <c r="I30" i="49"/>
  <c r="G30" i="49"/>
  <c r="F30" i="49"/>
  <c r="E30" i="49"/>
  <c r="D30" i="49"/>
  <c r="C30" i="49"/>
  <c r="B30" i="49"/>
  <c r="K29" i="49"/>
  <c r="J29" i="49"/>
  <c r="I29" i="49"/>
  <c r="G29" i="49"/>
  <c r="F29" i="49"/>
  <c r="E29" i="49"/>
  <c r="D29" i="49"/>
  <c r="C29" i="49"/>
  <c r="B29" i="49"/>
  <c r="K27" i="49"/>
  <c r="J27" i="49"/>
  <c r="I27" i="49"/>
  <c r="G27" i="49"/>
  <c r="F27" i="49"/>
  <c r="E27" i="49"/>
  <c r="D27" i="49"/>
  <c r="C27" i="49"/>
  <c r="B27" i="49"/>
  <c r="J26" i="49"/>
  <c r="G26" i="49"/>
  <c r="F26" i="49"/>
  <c r="E26" i="49"/>
  <c r="D26" i="49"/>
  <c r="C26" i="49"/>
  <c r="B26" i="49"/>
  <c r="J24" i="49"/>
  <c r="G24" i="49"/>
  <c r="F24" i="49"/>
  <c r="E24" i="49"/>
  <c r="D24" i="49"/>
  <c r="C24" i="49"/>
  <c r="B24" i="49"/>
  <c r="D23" i="49"/>
  <c r="C23" i="49"/>
  <c r="B23" i="49"/>
  <c r="K22" i="49"/>
  <c r="J22" i="49"/>
  <c r="I22" i="49"/>
  <c r="G22" i="49"/>
  <c r="F22" i="49"/>
  <c r="E22" i="49"/>
  <c r="D22" i="49"/>
  <c r="C22" i="49"/>
  <c r="B22" i="49"/>
  <c r="J18" i="49"/>
  <c r="I18" i="49"/>
  <c r="G18" i="49"/>
  <c r="F18" i="49"/>
  <c r="E18" i="49"/>
  <c r="D18" i="49"/>
  <c r="C18" i="49"/>
  <c r="B18" i="49"/>
  <c r="L78" i="45"/>
  <c r="G88" i="40"/>
  <c r="H88" i="40"/>
  <c r="L88" i="40"/>
  <c r="L83" i="40"/>
  <c r="E32" i="48"/>
  <c r="K32" i="48"/>
  <c r="J32" i="48"/>
  <c r="E30" i="48"/>
  <c r="G30" i="48"/>
  <c r="K30" i="48"/>
  <c r="J30" i="48"/>
  <c r="I32" i="48"/>
  <c r="I30" i="48"/>
  <c r="K260" i="48"/>
  <c r="K256" i="48"/>
  <c r="J256" i="48"/>
  <c r="I256" i="48"/>
  <c r="G256" i="48"/>
  <c r="F256" i="48"/>
  <c r="E256" i="48"/>
  <c r="D256" i="48"/>
  <c r="C256" i="48"/>
  <c r="B256" i="48"/>
  <c r="K255" i="48"/>
  <c r="J255" i="48"/>
  <c r="I255" i="48"/>
  <c r="G255" i="48"/>
  <c r="F255" i="48"/>
  <c r="E255" i="48"/>
  <c r="D255" i="48"/>
  <c r="C255" i="48"/>
  <c r="B255" i="48"/>
  <c r="K254" i="48"/>
  <c r="K253" i="48"/>
  <c r="K258" i="48" s="1"/>
  <c r="J253" i="48"/>
  <c r="J262" i="48" s="1"/>
  <c r="I253" i="48"/>
  <c r="I258" i="48" s="1"/>
  <c r="G253" i="48"/>
  <c r="F253" i="48"/>
  <c r="E253" i="48"/>
  <c r="E262" i="48" s="1"/>
  <c r="D253" i="48"/>
  <c r="D258" i="48" s="1"/>
  <c r="C253" i="48"/>
  <c r="C258" i="48" s="1"/>
  <c r="B253" i="48"/>
  <c r="B262" i="48" s="1"/>
  <c r="K244" i="48"/>
  <c r="K231" i="48"/>
  <c r="J231" i="48"/>
  <c r="K219" i="48"/>
  <c r="J215" i="48"/>
  <c r="G215" i="48"/>
  <c r="F215" i="48"/>
  <c r="E215" i="48"/>
  <c r="D215" i="48"/>
  <c r="C215" i="48"/>
  <c r="B215" i="48"/>
  <c r="K214" i="48"/>
  <c r="J214" i="48"/>
  <c r="I214" i="48"/>
  <c r="G214" i="48"/>
  <c r="F214" i="48"/>
  <c r="E214" i="48"/>
  <c r="D214" i="48"/>
  <c r="C214" i="48"/>
  <c r="B214" i="48"/>
  <c r="J213" i="48"/>
  <c r="I213" i="48"/>
  <c r="G213" i="48"/>
  <c r="F213" i="48"/>
  <c r="E213" i="48"/>
  <c r="D213" i="48"/>
  <c r="C213" i="48"/>
  <c r="B213" i="48"/>
  <c r="K212" i="48"/>
  <c r="K211" i="48"/>
  <c r="K210" i="48"/>
  <c r="K209" i="48"/>
  <c r="K208" i="48"/>
  <c r="J208" i="48"/>
  <c r="I208" i="48"/>
  <c r="G208" i="48"/>
  <c r="F208" i="48"/>
  <c r="E208" i="48"/>
  <c r="D208" i="48"/>
  <c r="C208" i="48"/>
  <c r="B208" i="48"/>
  <c r="K207" i="48"/>
  <c r="J207" i="48"/>
  <c r="I207" i="48"/>
  <c r="G207" i="48"/>
  <c r="F207" i="48"/>
  <c r="E207" i="48"/>
  <c r="D207" i="48"/>
  <c r="C207" i="48"/>
  <c r="B207" i="48"/>
  <c r="K206" i="48"/>
  <c r="J206" i="48"/>
  <c r="I206" i="48"/>
  <c r="E206" i="48"/>
  <c r="D206" i="48"/>
  <c r="C206" i="48"/>
  <c r="B206" i="48"/>
  <c r="B221" i="48" s="1"/>
  <c r="K205" i="48"/>
  <c r="J205" i="48"/>
  <c r="I205" i="48"/>
  <c r="E205" i="48"/>
  <c r="D205" i="48"/>
  <c r="C205" i="48"/>
  <c r="B205" i="48"/>
  <c r="K204" i="48"/>
  <c r="J204" i="48"/>
  <c r="J217" i="48" s="1"/>
  <c r="I204" i="48"/>
  <c r="E204" i="48"/>
  <c r="E217" i="48" s="1"/>
  <c r="D204" i="48"/>
  <c r="D217" i="48" s="1"/>
  <c r="C204" i="48"/>
  <c r="C221" i="48" s="1"/>
  <c r="B204" i="48"/>
  <c r="B217" i="48" s="1"/>
  <c r="K201" i="48"/>
  <c r="E173" i="48"/>
  <c r="K171" i="48"/>
  <c r="C169" i="48"/>
  <c r="G167" i="48"/>
  <c r="F167" i="48"/>
  <c r="E167" i="48"/>
  <c r="D167" i="48"/>
  <c r="C167" i="48"/>
  <c r="B167" i="48"/>
  <c r="K165" i="48"/>
  <c r="K164" i="48"/>
  <c r="J164" i="48"/>
  <c r="I164" i="48"/>
  <c r="G164" i="48"/>
  <c r="F164" i="48"/>
  <c r="E164" i="48"/>
  <c r="D164" i="48"/>
  <c r="C164" i="48"/>
  <c r="B164" i="48"/>
  <c r="K163" i="48"/>
  <c r="K162" i="48"/>
  <c r="J162" i="48"/>
  <c r="I162" i="48"/>
  <c r="G162" i="48"/>
  <c r="G173" i="48" s="1"/>
  <c r="K160" i="48" s="1"/>
  <c r="F162" i="48"/>
  <c r="E162" i="48"/>
  <c r="E169" i="48" s="1"/>
  <c r="D162" i="48"/>
  <c r="D169" i="48" s="1"/>
  <c r="C162" i="48"/>
  <c r="C173" i="48" s="1"/>
  <c r="B162" i="48"/>
  <c r="B173" i="48" s="1"/>
  <c r="C145" i="48"/>
  <c r="D144" i="48"/>
  <c r="K136" i="48"/>
  <c r="J136" i="48"/>
  <c r="K130" i="48"/>
  <c r="K129" i="48"/>
  <c r="K128" i="48"/>
  <c r="K127" i="48"/>
  <c r="K112" i="48"/>
  <c r="J111" i="48"/>
  <c r="I111" i="48"/>
  <c r="G111" i="48"/>
  <c r="F111" i="48"/>
  <c r="E111" i="48"/>
  <c r="D111" i="48"/>
  <c r="C111" i="48"/>
  <c r="B111" i="48"/>
  <c r="J106" i="48"/>
  <c r="E106" i="48"/>
  <c r="E145" i="48" s="1"/>
  <c r="D106" i="48"/>
  <c r="C106" i="48"/>
  <c r="B106" i="48"/>
  <c r="B145" i="48" s="1"/>
  <c r="K97" i="48"/>
  <c r="K91" i="48"/>
  <c r="K90" i="48"/>
  <c r="K89" i="48"/>
  <c r="J83" i="48"/>
  <c r="I83" i="48"/>
  <c r="G83" i="48"/>
  <c r="F83" i="48"/>
  <c r="E83" i="48"/>
  <c r="D83" i="48"/>
  <c r="C83" i="48"/>
  <c r="C78" i="48" s="1"/>
  <c r="B83" i="48"/>
  <c r="K81" i="48"/>
  <c r="J80" i="48"/>
  <c r="E80" i="48"/>
  <c r="J78" i="48"/>
  <c r="E78" i="48"/>
  <c r="D78" i="48"/>
  <c r="D80" i="48" s="1"/>
  <c r="B78" i="48"/>
  <c r="K69" i="48"/>
  <c r="K48" i="48"/>
  <c r="K47" i="48"/>
  <c r="J45" i="48"/>
  <c r="I45" i="48"/>
  <c r="G45" i="48"/>
  <c r="F45" i="48"/>
  <c r="E45" i="48"/>
  <c r="D45" i="48"/>
  <c r="C45" i="48"/>
  <c r="B45" i="48"/>
  <c r="K44" i="48"/>
  <c r="J44" i="48"/>
  <c r="I44" i="48"/>
  <c r="G44" i="48"/>
  <c r="F44" i="48"/>
  <c r="E44" i="48"/>
  <c r="D44" i="48"/>
  <c r="C44" i="48"/>
  <c r="B44" i="48"/>
  <c r="D32" i="48"/>
  <c r="C32" i="48"/>
  <c r="B32" i="48"/>
  <c r="D30" i="48"/>
  <c r="C30" i="48"/>
  <c r="B30" i="48"/>
  <c r="J18" i="48"/>
  <c r="I18" i="48"/>
  <c r="G18" i="48"/>
  <c r="F18" i="48"/>
  <c r="E18" i="48"/>
  <c r="D18" i="48"/>
  <c r="C18" i="48"/>
  <c r="B18" i="48"/>
  <c r="G432" i="50" l="1"/>
  <c r="G452" i="50" s="1"/>
  <c r="K393" i="50"/>
  <c r="K451" i="50" s="1"/>
  <c r="E432" i="50"/>
  <c r="E452" i="50" s="1"/>
  <c r="F432" i="50"/>
  <c r="F452" i="50" s="1"/>
  <c r="J432" i="50"/>
  <c r="J452" i="50" s="1"/>
  <c r="B132" i="50"/>
  <c r="B152" i="50" s="1"/>
  <c r="E282" i="50"/>
  <c r="E302" i="50" s="1"/>
  <c r="C432" i="50"/>
  <c r="C452" i="50" s="1"/>
  <c r="G243" i="50"/>
  <c r="G301" i="50" s="1"/>
  <c r="D282" i="50"/>
  <c r="D302" i="50" s="1"/>
  <c r="G434" i="50"/>
  <c r="B432" i="50"/>
  <c r="B434" i="50" s="1"/>
  <c r="K93" i="50"/>
  <c r="K151" i="50" s="1"/>
  <c r="D132" i="50"/>
  <c r="D152" i="50" s="1"/>
  <c r="D432" i="50"/>
  <c r="D452" i="50" s="1"/>
  <c r="E395" i="50"/>
  <c r="B395" i="50"/>
  <c r="G380" i="50"/>
  <c r="G444" i="50"/>
  <c r="E380" i="50"/>
  <c r="F444" i="50"/>
  <c r="I395" i="50"/>
  <c r="E434" i="50"/>
  <c r="F395" i="50"/>
  <c r="F451" i="50"/>
  <c r="J434" i="50"/>
  <c r="K395" i="50"/>
  <c r="K444" i="50"/>
  <c r="K380" i="50"/>
  <c r="G442" i="50"/>
  <c r="J442" i="50"/>
  <c r="J380" i="50"/>
  <c r="J395" i="50"/>
  <c r="J444" i="50"/>
  <c r="C395" i="50"/>
  <c r="D395" i="50"/>
  <c r="E444" i="50"/>
  <c r="K445" i="50"/>
  <c r="G395" i="50"/>
  <c r="I444" i="50"/>
  <c r="B444" i="50"/>
  <c r="B380" i="50"/>
  <c r="D444" i="50"/>
  <c r="C380" i="50"/>
  <c r="J282" i="50"/>
  <c r="J302" i="50" s="1"/>
  <c r="B282" i="50"/>
  <c r="B302" i="50" s="1"/>
  <c r="J243" i="50"/>
  <c r="J301" i="50" s="1"/>
  <c r="I243" i="50"/>
  <c r="I301" i="50" s="1"/>
  <c r="D245" i="50"/>
  <c r="D230" i="50"/>
  <c r="D294" i="50"/>
  <c r="D284" i="50"/>
  <c r="G292" i="50"/>
  <c r="E230" i="50"/>
  <c r="E294" i="50"/>
  <c r="F230" i="50"/>
  <c r="F294" i="50"/>
  <c r="J292" i="50"/>
  <c r="E245" i="50"/>
  <c r="B292" i="50"/>
  <c r="F245" i="50"/>
  <c r="G230" i="50"/>
  <c r="G294" i="50"/>
  <c r="I230" i="50"/>
  <c r="I294" i="50"/>
  <c r="I245" i="50"/>
  <c r="J230" i="50"/>
  <c r="J294" i="50"/>
  <c r="F282" i="50"/>
  <c r="F302" i="50" s="1"/>
  <c r="B245" i="50"/>
  <c r="B230" i="50"/>
  <c r="B294" i="50"/>
  <c r="G282" i="50"/>
  <c r="G284" i="50" s="1"/>
  <c r="C245" i="50"/>
  <c r="C230" i="50"/>
  <c r="C294" i="50"/>
  <c r="K245" i="50"/>
  <c r="C284" i="50"/>
  <c r="K294" i="50"/>
  <c r="B142" i="50"/>
  <c r="F132" i="50"/>
  <c r="F152" i="50" s="1"/>
  <c r="G132" i="50"/>
  <c r="G152" i="50" s="1"/>
  <c r="J132" i="50"/>
  <c r="J134" i="50" s="1"/>
  <c r="F142" i="50"/>
  <c r="C95" i="50"/>
  <c r="C80" i="50"/>
  <c r="C144" i="50"/>
  <c r="D95" i="50"/>
  <c r="D80" i="50"/>
  <c r="D144" i="50"/>
  <c r="J151" i="50"/>
  <c r="F134" i="50"/>
  <c r="G142" i="50"/>
  <c r="E80" i="50"/>
  <c r="E144" i="50"/>
  <c r="E95" i="50"/>
  <c r="B95" i="50"/>
  <c r="B80" i="50"/>
  <c r="B144" i="50"/>
  <c r="J142" i="50"/>
  <c r="F144" i="50"/>
  <c r="F95" i="50"/>
  <c r="F80" i="50"/>
  <c r="G144" i="50"/>
  <c r="J95" i="50"/>
  <c r="G80" i="50"/>
  <c r="C134" i="50"/>
  <c r="D134" i="50"/>
  <c r="J144" i="50"/>
  <c r="E134" i="50"/>
  <c r="G95" i="50"/>
  <c r="F192" i="49"/>
  <c r="B196" i="49"/>
  <c r="C196" i="49"/>
  <c r="K188" i="48"/>
  <c r="B192" i="48"/>
  <c r="F192" i="48"/>
  <c r="D196" i="48"/>
  <c r="C192" i="48"/>
  <c r="E192" i="49"/>
  <c r="D80" i="49"/>
  <c r="D144" i="49"/>
  <c r="E80" i="49"/>
  <c r="J80" i="49"/>
  <c r="B145" i="49"/>
  <c r="F145" i="49"/>
  <c r="C144" i="49"/>
  <c r="E144" i="49"/>
  <c r="E145" i="49"/>
  <c r="J145" i="49"/>
  <c r="J144" i="49"/>
  <c r="D221" i="49"/>
  <c r="J221" i="49"/>
  <c r="E258" i="49"/>
  <c r="J258" i="49"/>
  <c r="C262" i="49"/>
  <c r="G262" i="49"/>
  <c r="K251" i="49" s="1"/>
  <c r="K262" i="49" s="1"/>
  <c r="D173" i="49"/>
  <c r="E221" i="49"/>
  <c r="B242" i="49"/>
  <c r="F242" i="49"/>
  <c r="B258" i="49"/>
  <c r="F258" i="49"/>
  <c r="D262" i="49"/>
  <c r="I262" i="49"/>
  <c r="G258" i="48"/>
  <c r="F262" i="48"/>
  <c r="G169" i="48"/>
  <c r="F173" i="48"/>
  <c r="B144" i="48"/>
  <c r="B80" i="48"/>
  <c r="C144" i="48"/>
  <c r="C80" i="48"/>
  <c r="D145" i="48"/>
  <c r="D221" i="48"/>
  <c r="J221" i="48"/>
  <c r="E258" i="48"/>
  <c r="J258" i="48"/>
  <c r="C262" i="48"/>
  <c r="G262" i="48"/>
  <c r="K251" i="48" s="1"/>
  <c r="K262" i="48" s="1"/>
  <c r="E144" i="48"/>
  <c r="J144" i="48"/>
  <c r="B169" i="48"/>
  <c r="F169" i="48"/>
  <c r="D173" i="48"/>
  <c r="C217" i="48"/>
  <c r="E221" i="48"/>
  <c r="B258" i="48"/>
  <c r="F258" i="48"/>
  <c r="D262" i="48"/>
  <c r="I262" i="48"/>
  <c r="J145" i="48"/>
  <c r="J19" i="41"/>
  <c r="J19" i="40"/>
  <c r="J19" i="39"/>
  <c r="J19" i="38"/>
  <c r="J19" i="37"/>
  <c r="J19" i="36"/>
  <c r="J19" i="35"/>
  <c r="J19" i="33"/>
  <c r="J19" i="34"/>
  <c r="J19" i="30"/>
  <c r="J19" i="28"/>
  <c r="J19" i="27"/>
  <c r="J19" i="22"/>
  <c r="J19" i="20"/>
  <c r="J19" i="18"/>
  <c r="J19" i="15"/>
  <c r="J19" i="14"/>
  <c r="J19" i="13"/>
  <c r="J19" i="12"/>
  <c r="J19" i="10"/>
  <c r="J19" i="9"/>
  <c r="J19" i="8"/>
  <c r="J19" i="7"/>
  <c r="J19" i="6"/>
  <c r="J19" i="5"/>
  <c r="J19" i="3"/>
  <c r="C434" i="50" l="1"/>
  <c r="F434" i="50"/>
  <c r="B452" i="50"/>
  <c r="J245" i="50"/>
  <c r="J284" i="50"/>
  <c r="E284" i="50"/>
  <c r="B134" i="50"/>
  <c r="D434" i="50"/>
  <c r="G245" i="50"/>
  <c r="B284" i="50"/>
  <c r="G302" i="50"/>
  <c r="F284" i="50"/>
  <c r="J152" i="50"/>
  <c r="J196" i="49"/>
  <c r="J192" i="49"/>
  <c r="J262" i="47"/>
  <c r="K201" i="47"/>
  <c r="J16" i="41"/>
  <c r="J16" i="40"/>
  <c r="J16" i="38"/>
  <c r="J16" i="37"/>
  <c r="J16" i="36"/>
  <c r="J16" i="35"/>
  <c r="J16" i="33"/>
  <c r="J16" i="30"/>
  <c r="J16" i="28"/>
  <c r="J16" i="27"/>
  <c r="J16" i="13"/>
  <c r="J16" i="12"/>
  <c r="J16" i="10"/>
  <c r="J16" i="9"/>
  <c r="J31" i="9" s="1"/>
  <c r="J16" i="8"/>
  <c r="J16" i="7"/>
  <c r="J16" i="3"/>
  <c r="K244" i="47"/>
  <c r="F196" i="47"/>
  <c r="E196" i="47"/>
  <c r="D196" i="47"/>
  <c r="C196" i="47"/>
  <c r="B196" i="47"/>
  <c r="K194" i="47"/>
  <c r="K185" i="47"/>
  <c r="K182" i="47"/>
  <c r="K180" i="47"/>
  <c r="E173" i="47"/>
  <c r="D173" i="47"/>
  <c r="C173" i="47"/>
  <c r="K59" i="43"/>
  <c r="F59" i="43"/>
  <c r="E59" i="43"/>
  <c r="D59" i="43"/>
  <c r="C59" i="43"/>
  <c r="L57" i="43"/>
  <c r="K57" i="43"/>
  <c r="J57" i="43"/>
  <c r="H57" i="43"/>
  <c r="G57" i="43"/>
  <c r="F57" i="43"/>
  <c r="E57" i="43"/>
  <c r="D57" i="43"/>
  <c r="C57" i="43"/>
  <c r="L53" i="43"/>
  <c r="K53" i="43"/>
  <c r="J53" i="43"/>
  <c r="H53" i="43"/>
  <c r="G53" i="43"/>
  <c r="F53" i="43"/>
  <c r="E53" i="43"/>
  <c r="D53" i="43"/>
  <c r="C53" i="43"/>
  <c r="L49" i="43"/>
  <c r="K49" i="43"/>
  <c r="J49" i="43"/>
  <c r="H49" i="43"/>
  <c r="G49" i="43"/>
  <c r="F49" i="43"/>
  <c r="E49" i="43"/>
  <c r="D49" i="43"/>
  <c r="C49" i="43"/>
  <c r="L45" i="43"/>
  <c r="L44" i="43"/>
  <c r="L40" i="43"/>
  <c r="K40" i="43"/>
  <c r="J40" i="43"/>
  <c r="H40" i="43"/>
  <c r="G40" i="43"/>
  <c r="F40" i="43"/>
  <c r="E40" i="43"/>
  <c r="D40" i="43"/>
  <c r="C40" i="43"/>
  <c r="L36" i="43"/>
  <c r="L32" i="43"/>
  <c r="K32" i="43"/>
  <c r="J32" i="43"/>
  <c r="H32" i="43"/>
  <c r="G32" i="43"/>
  <c r="F32" i="43"/>
  <c r="E32" i="43"/>
  <c r="D32" i="43"/>
  <c r="C32" i="43"/>
  <c r="L28" i="43"/>
  <c r="J17" i="43"/>
  <c r="J21" i="43" s="1"/>
  <c r="J59" i="43" s="1"/>
  <c r="L10" i="43"/>
  <c r="J43" i="34"/>
  <c r="J40" i="32"/>
  <c r="J41" i="22"/>
  <c r="J46" i="18"/>
  <c r="J48" i="5"/>
  <c r="J13" i="19"/>
  <c r="J57" i="7"/>
  <c r="J69" i="7"/>
  <c r="K17" i="43"/>
  <c r="K21" i="43" s="1"/>
  <c r="F21" i="43"/>
  <c r="E21" i="43"/>
  <c r="D21" i="43"/>
  <c r="C21" i="43"/>
  <c r="H17" i="43"/>
  <c r="H21" i="43" s="1"/>
  <c r="H59" i="43" s="1"/>
  <c r="G17" i="43"/>
  <c r="G21" i="43" s="1"/>
  <c r="G59" i="43" s="1"/>
  <c r="F17" i="43"/>
  <c r="E17" i="43"/>
  <c r="D17" i="43"/>
  <c r="C17" i="43"/>
  <c r="K101" i="5"/>
  <c r="J101" i="5"/>
  <c r="L92" i="5"/>
  <c r="J75" i="25"/>
  <c r="J41" i="28"/>
  <c r="J47" i="27" l="1"/>
  <c r="J38" i="41" l="1"/>
  <c r="J38" i="40"/>
  <c r="J40" i="39"/>
  <c r="J39" i="38"/>
  <c r="J38" i="36"/>
  <c r="J39" i="35"/>
  <c r="K92" i="29"/>
  <c r="L15" i="4"/>
  <c r="L14" i="4"/>
  <c r="L13" i="4"/>
  <c r="C231" i="47" l="1"/>
  <c r="B231" i="47"/>
  <c r="F229" i="47"/>
  <c r="B229" i="47"/>
  <c r="C124" i="42"/>
  <c r="C75" i="42"/>
  <c r="K66" i="42"/>
  <c r="D66" i="42"/>
  <c r="C66" i="42"/>
  <c r="C55" i="42"/>
  <c r="J42" i="42"/>
  <c r="I229" i="49" s="1"/>
  <c r="G42" i="42"/>
  <c r="F229" i="48" s="1"/>
  <c r="C42" i="42"/>
  <c r="B229" i="48" s="1"/>
  <c r="K27" i="42"/>
  <c r="J27" i="42"/>
  <c r="E27" i="42"/>
  <c r="D231" i="48" s="1"/>
  <c r="D27" i="42"/>
  <c r="C231" i="48" s="1"/>
  <c r="C27" i="42"/>
  <c r="B231" i="48" s="1"/>
  <c r="K101" i="37"/>
  <c r="L95" i="37"/>
  <c r="J40" i="37"/>
  <c r="J41" i="33"/>
  <c r="L83" i="8"/>
  <c r="L71" i="8"/>
  <c r="L72" i="8"/>
  <c r="L73" i="8"/>
  <c r="L74" i="8"/>
  <c r="L75" i="8"/>
  <c r="L70" i="8"/>
  <c r="L59" i="8"/>
  <c r="L60" i="8"/>
  <c r="L61" i="8"/>
  <c r="L62" i="8"/>
  <c r="L58" i="8"/>
  <c r="K260" i="47"/>
  <c r="K254" i="47"/>
  <c r="K171" i="47"/>
  <c r="K165" i="47"/>
  <c r="K163" i="47"/>
  <c r="K90" i="47"/>
  <c r="K89" i="47"/>
  <c r="K81" i="47"/>
  <c r="K48" i="47"/>
  <c r="K47" i="47"/>
  <c r="K219" i="47"/>
  <c r="J215" i="47"/>
  <c r="F215" i="47"/>
  <c r="E215" i="47"/>
  <c r="D215" i="47"/>
  <c r="C215" i="47"/>
  <c r="K212" i="47"/>
  <c r="K211" i="47"/>
  <c r="K210" i="47"/>
  <c r="K209" i="47"/>
  <c r="K208" i="47"/>
  <c r="J208" i="47"/>
  <c r="I208" i="47"/>
  <c r="G208" i="47"/>
  <c r="F208" i="47"/>
  <c r="E208" i="47"/>
  <c r="D208" i="47"/>
  <c r="C208" i="47"/>
  <c r="K207" i="47"/>
  <c r="J207" i="47"/>
  <c r="I207" i="47"/>
  <c r="G207" i="47"/>
  <c r="F207" i="47"/>
  <c r="E207" i="47"/>
  <c r="D207" i="47"/>
  <c r="C207" i="47"/>
  <c r="B215" i="47"/>
  <c r="C113" i="44"/>
  <c r="C117" i="44"/>
  <c r="K214" i="47"/>
  <c r="J214" i="47"/>
  <c r="I214" i="47"/>
  <c r="G214" i="47"/>
  <c r="F214" i="47"/>
  <c r="E214" i="47"/>
  <c r="D214" i="47"/>
  <c r="C214" i="47"/>
  <c r="K213" i="47"/>
  <c r="J213" i="47"/>
  <c r="I213" i="47"/>
  <c r="G213" i="47"/>
  <c r="F213" i="47"/>
  <c r="E213" i="47"/>
  <c r="D213" i="47"/>
  <c r="C213" i="47"/>
  <c r="B214" i="47"/>
  <c r="B213" i="47"/>
  <c r="L10" i="44"/>
  <c r="L18" i="44"/>
  <c r="L23" i="44" s="1"/>
  <c r="K204" i="47" s="1"/>
  <c r="L71" i="44"/>
  <c r="L70" i="44"/>
  <c r="L28" i="44"/>
  <c r="L27" i="44"/>
  <c r="F119" i="44"/>
  <c r="E119" i="44"/>
  <c r="D119" i="44"/>
  <c r="C119" i="44"/>
  <c r="G117" i="44"/>
  <c r="F117" i="44"/>
  <c r="E117" i="44"/>
  <c r="D117" i="44"/>
  <c r="L113" i="44"/>
  <c r="K113" i="44"/>
  <c r="J113" i="44"/>
  <c r="H113" i="44"/>
  <c r="G113" i="44"/>
  <c r="F113" i="44"/>
  <c r="E113" i="44"/>
  <c r="D113" i="44"/>
  <c r="L109" i="44"/>
  <c r="K109" i="44"/>
  <c r="J109" i="44"/>
  <c r="H109" i="44"/>
  <c r="G109" i="44"/>
  <c r="F109" i="44"/>
  <c r="E109" i="44"/>
  <c r="D109" i="44"/>
  <c r="C109" i="44"/>
  <c r="L105" i="44"/>
  <c r="L104" i="44"/>
  <c r="L103" i="44"/>
  <c r="L95" i="44"/>
  <c r="L94" i="44"/>
  <c r="L79" i="44"/>
  <c r="L83" i="44" s="1"/>
  <c r="L99" i="44"/>
  <c r="K99" i="44"/>
  <c r="J99" i="44"/>
  <c r="H99" i="44"/>
  <c r="G99" i="44"/>
  <c r="F99" i="44"/>
  <c r="E99" i="44"/>
  <c r="D99" i="44"/>
  <c r="C99" i="44"/>
  <c r="G87" i="44"/>
  <c r="F87" i="44"/>
  <c r="E87" i="44"/>
  <c r="D87" i="44"/>
  <c r="C87" i="44"/>
  <c r="K83" i="44"/>
  <c r="J83" i="44"/>
  <c r="H83" i="44"/>
  <c r="G83" i="44"/>
  <c r="F83" i="44"/>
  <c r="E83" i="44"/>
  <c r="D83" i="44"/>
  <c r="C83" i="44"/>
  <c r="L75" i="44"/>
  <c r="K75" i="44"/>
  <c r="J75" i="44"/>
  <c r="H75" i="44"/>
  <c r="G75" i="44"/>
  <c r="F75" i="44"/>
  <c r="E75" i="44"/>
  <c r="D75" i="44"/>
  <c r="C75" i="44"/>
  <c r="K66" i="44"/>
  <c r="J66" i="44"/>
  <c r="H66" i="44"/>
  <c r="H87" i="44" s="1"/>
  <c r="H117" i="44" s="1"/>
  <c r="G66" i="44"/>
  <c r="F66" i="44"/>
  <c r="E66" i="44"/>
  <c r="D66" i="44"/>
  <c r="C66" i="44"/>
  <c r="L62" i="44"/>
  <c r="L66" i="44" s="1"/>
  <c r="L55" i="44"/>
  <c r="K55" i="44"/>
  <c r="J55" i="44"/>
  <c r="H55" i="44"/>
  <c r="G55" i="44"/>
  <c r="F55" i="44"/>
  <c r="E55" i="44"/>
  <c r="D55" i="44"/>
  <c r="C55" i="44"/>
  <c r="L51" i="44"/>
  <c r="K51" i="44"/>
  <c r="J51" i="44"/>
  <c r="H51" i="44"/>
  <c r="G51" i="44"/>
  <c r="F51" i="44"/>
  <c r="E51" i="44"/>
  <c r="D51" i="44"/>
  <c r="C51" i="44"/>
  <c r="L47" i="44"/>
  <c r="B208" i="47"/>
  <c r="B207" i="47"/>
  <c r="I206" i="47"/>
  <c r="E206" i="47"/>
  <c r="D206" i="47"/>
  <c r="C206" i="47"/>
  <c r="E205" i="47"/>
  <c r="D205" i="47"/>
  <c r="C205" i="47"/>
  <c r="C217" i="47" s="1"/>
  <c r="J204" i="47"/>
  <c r="E204" i="47"/>
  <c r="D204" i="47"/>
  <c r="D217" i="47" s="1"/>
  <c r="C204" i="47"/>
  <c r="B206" i="47"/>
  <c r="B205" i="47"/>
  <c r="B204" i="47"/>
  <c r="B217" i="47" s="1"/>
  <c r="F36" i="44"/>
  <c r="E36" i="44"/>
  <c r="D36" i="44"/>
  <c r="C36" i="44"/>
  <c r="L32" i="44"/>
  <c r="K32" i="44"/>
  <c r="J205" i="47" s="1"/>
  <c r="J32" i="44"/>
  <c r="I205" i="47" s="1"/>
  <c r="H32" i="44"/>
  <c r="G32" i="44"/>
  <c r="F32" i="44"/>
  <c r="E32" i="44"/>
  <c r="D32" i="44"/>
  <c r="C32" i="44"/>
  <c r="K23" i="44"/>
  <c r="J23" i="44"/>
  <c r="I204" i="47" s="1"/>
  <c r="H23" i="44"/>
  <c r="G23" i="44"/>
  <c r="F204" i="48" s="1"/>
  <c r="F23" i="44"/>
  <c r="E23" i="44"/>
  <c r="D23" i="44"/>
  <c r="C23" i="44"/>
  <c r="L14" i="44"/>
  <c r="K206" i="47" s="1"/>
  <c r="K14" i="44"/>
  <c r="J206" i="47" s="1"/>
  <c r="J14" i="44"/>
  <c r="H14" i="44"/>
  <c r="G14" i="44"/>
  <c r="F206" i="48" s="1"/>
  <c r="F14" i="44"/>
  <c r="E14" i="44"/>
  <c r="D14" i="44"/>
  <c r="C14" i="44"/>
  <c r="L19" i="44"/>
  <c r="K213" i="48" l="1"/>
  <c r="K213" i="49"/>
  <c r="I246" i="49"/>
  <c r="K246" i="49" s="1"/>
  <c r="I242" i="49"/>
  <c r="C128" i="42"/>
  <c r="C132" i="42" s="1"/>
  <c r="B240" i="48"/>
  <c r="B240" i="47"/>
  <c r="I229" i="47"/>
  <c r="I229" i="48"/>
  <c r="I231" i="47"/>
  <c r="I231" i="48"/>
  <c r="B242" i="47"/>
  <c r="D231" i="47"/>
  <c r="B246" i="48"/>
  <c r="B242" i="48"/>
  <c r="C46" i="42"/>
  <c r="C137" i="42" s="1"/>
  <c r="G205" i="47"/>
  <c r="G205" i="48"/>
  <c r="G204" i="47"/>
  <c r="G204" i="48"/>
  <c r="G206" i="47"/>
  <c r="G206" i="48"/>
  <c r="G217" i="48" s="1"/>
  <c r="F205" i="47"/>
  <c r="F205" i="48"/>
  <c r="F221" i="48"/>
  <c r="F217" i="48"/>
  <c r="F206" i="47"/>
  <c r="F217" i="47" s="1"/>
  <c r="H36" i="44"/>
  <c r="H119" i="44" s="1"/>
  <c r="J87" i="44"/>
  <c r="J117" i="44" s="1"/>
  <c r="G215" i="47"/>
  <c r="G217" i="47"/>
  <c r="G36" i="44"/>
  <c r="G119" i="44" s="1"/>
  <c r="F204" i="47"/>
  <c r="E217" i="47"/>
  <c r="L36" i="44"/>
  <c r="K87" i="44"/>
  <c r="K117" i="44" s="1"/>
  <c r="L87" i="44"/>
  <c r="L117" i="44" s="1"/>
  <c r="K205" i="47"/>
  <c r="J36" i="44"/>
  <c r="J119" i="44" s="1"/>
  <c r="K36" i="44"/>
  <c r="K119" i="44" s="1"/>
  <c r="K256" i="47"/>
  <c r="J256" i="47"/>
  <c r="I256" i="47"/>
  <c r="G256" i="47"/>
  <c r="F256" i="47"/>
  <c r="E256" i="47"/>
  <c r="D256" i="47"/>
  <c r="C256" i="47"/>
  <c r="J255" i="47"/>
  <c r="I255" i="47"/>
  <c r="I262" i="47" s="1"/>
  <c r="G255" i="47"/>
  <c r="G262" i="47" s="1"/>
  <c r="K251" i="47" s="1"/>
  <c r="F255" i="47"/>
  <c r="F262" i="47" s="1"/>
  <c r="E255" i="47"/>
  <c r="D255" i="47"/>
  <c r="C255" i="47"/>
  <c r="J253" i="47"/>
  <c r="I253" i="47"/>
  <c r="G253" i="47"/>
  <c r="F253" i="47"/>
  <c r="E253" i="47"/>
  <c r="D253" i="47"/>
  <c r="D258" i="47" s="1"/>
  <c r="C253" i="47"/>
  <c r="B256" i="47"/>
  <c r="B255" i="47"/>
  <c r="B253" i="47"/>
  <c r="J164" i="47"/>
  <c r="I164" i="47"/>
  <c r="G164" i="47"/>
  <c r="F164" i="47"/>
  <c r="E164" i="47"/>
  <c r="D164" i="47"/>
  <c r="C164" i="47"/>
  <c r="J162" i="47"/>
  <c r="I162" i="47"/>
  <c r="G162" i="47"/>
  <c r="G173" i="47" s="1"/>
  <c r="K160" i="47" s="1"/>
  <c r="F162" i="47"/>
  <c r="E162" i="47"/>
  <c r="D162" i="47"/>
  <c r="C162" i="47"/>
  <c r="B164" i="47"/>
  <c r="B162" i="47"/>
  <c r="J44" i="47"/>
  <c r="I44" i="47"/>
  <c r="G44" i="47"/>
  <c r="F44" i="47"/>
  <c r="E44" i="47"/>
  <c r="D44" i="47"/>
  <c r="C44" i="47"/>
  <c r="B44" i="47"/>
  <c r="K85" i="45"/>
  <c r="K89" i="45" s="1"/>
  <c r="K93" i="45" s="1"/>
  <c r="J85" i="45"/>
  <c r="J89" i="45" s="1"/>
  <c r="J93" i="45" s="1"/>
  <c r="L68" i="45"/>
  <c r="L69" i="45"/>
  <c r="L70" i="45"/>
  <c r="L71" i="45"/>
  <c r="L72" i="45"/>
  <c r="L73" i="45"/>
  <c r="L74" i="45"/>
  <c r="L75" i="45"/>
  <c r="L76" i="45"/>
  <c r="L77" i="45"/>
  <c r="L79" i="45"/>
  <c r="L80" i="45"/>
  <c r="L81" i="45"/>
  <c r="L67" i="45"/>
  <c r="L85" i="45" s="1"/>
  <c r="L89" i="45" s="1"/>
  <c r="L93" i="45" s="1"/>
  <c r="C85" i="45"/>
  <c r="C89" i="45" s="1"/>
  <c r="C93" i="45" s="1"/>
  <c r="E48" i="45"/>
  <c r="K44" i="45"/>
  <c r="K48" i="45" s="1"/>
  <c r="K95" i="45" s="1"/>
  <c r="J44" i="45"/>
  <c r="J48" i="45" s="1"/>
  <c r="H44" i="45"/>
  <c r="H48" i="45" s="1"/>
  <c r="G44" i="45"/>
  <c r="G48" i="45" s="1"/>
  <c r="F44" i="45"/>
  <c r="F48" i="45" s="1"/>
  <c r="E44" i="45"/>
  <c r="D44" i="45"/>
  <c r="D48" i="45" s="1"/>
  <c r="C44" i="45"/>
  <c r="C48" i="45" s="1"/>
  <c r="L23" i="45"/>
  <c r="L24" i="45"/>
  <c r="L25" i="45"/>
  <c r="L26" i="45"/>
  <c r="L27" i="45"/>
  <c r="L28" i="45"/>
  <c r="L29" i="45"/>
  <c r="L30" i="45"/>
  <c r="L31" i="45"/>
  <c r="L32" i="45"/>
  <c r="L33" i="45"/>
  <c r="L34" i="45"/>
  <c r="L35" i="45"/>
  <c r="L36" i="45"/>
  <c r="L37" i="45"/>
  <c r="L38" i="45"/>
  <c r="L39" i="45"/>
  <c r="L40" i="45"/>
  <c r="L18" i="45"/>
  <c r="L19" i="45"/>
  <c r="L20" i="45"/>
  <c r="L21" i="45"/>
  <c r="L22" i="45"/>
  <c r="L17" i="45"/>
  <c r="L16" i="45"/>
  <c r="L15" i="45"/>
  <c r="L14" i="45"/>
  <c r="L13" i="45"/>
  <c r="L12" i="45"/>
  <c r="L44" i="45" s="1"/>
  <c r="L48" i="45" s="1"/>
  <c r="L11" i="45"/>
  <c r="L10" i="45"/>
  <c r="H85" i="45"/>
  <c r="H89" i="45" s="1"/>
  <c r="H93" i="45" s="1"/>
  <c r="G85" i="45"/>
  <c r="G89" i="45" s="1"/>
  <c r="G93" i="45" s="1"/>
  <c r="F85" i="45"/>
  <c r="F89" i="45" s="1"/>
  <c r="F93" i="45" s="1"/>
  <c r="E85" i="45"/>
  <c r="E89" i="45" s="1"/>
  <c r="E93" i="45" s="1"/>
  <c r="E95" i="45" s="1"/>
  <c r="D85" i="45"/>
  <c r="D89" i="45" s="1"/>
  <c r="D93" i="45" s="1"/>
  <c r="J45" i="47"/>
  <c r="I45" i="47"/>
  <c r="G45" i="47"/>
  <c r="F45" i="47"/>
  <c r="E45" i="47"/>
  <c r="D45" i="47"/>
  <c r="C45" i="47"/>
  <c r="B45" i="47"/>
  <c r="K112" i="47"/>
  <c r="K111" i="47"/>
  <c r="J111" i="47"/>
  <c r="I111" i="47"/>
  <c r="G111" i="47"/>
  <c r="F111" i="47"/>
  <c r="E111" i="47"/>
  <c r="D111" i="47"/>
  <c r="C111" i="47"/>
  <c r="B111" i="47"/>
  <c r="K21" i="31"/>
  <c r="H21" i="31"/>
  <c r="F21" i="31"/>
  <c r="E21" i="31"/>
  <c r="D21" i="31"/>
  <c r="C21" i="31"/>
  <c r="E17" i="31"/>
  <c r="L17" i="31"/>
  <c r="L21" i="31" s="1"/>
  <c r="K17" i="31"/>
  <c r="J17" i="31"/>
  <c r="J21" i="31" s="1"/>
  <c r="H17" i="31"/>
  <c r="G17" i="31"/>
  <c r="G21" i="31" s="1"/>
  <c r="F17" i="31"/>
  <c r="L13" i="31"/>
  <c r="L12" i="31"/>
  <c r="L11" i="31"/>
  <c r="K130" i="47"/>
  <c r="K129" i="47"/>
  <c r="K128" i="47"/>
  <c r="K127" i="47"/>
  <c r="K111" i="49" l="1"/>
  <c r="K111" i="48"/>
  <c r="K111" i="50"/>
  <c r="K215" i="49"/>
  <c r="K217" i="49" s="1"/>
  <c r="K215" i="48"/>
  <c r="I215" i="47"/>
  <c r="I217" i="47" s="1"/>
  <c r="I215" i="48"/>
  <c r="I215" i="49"/>
  <c r="K217" i="48"/>
  <c r="I189" i="47"/>
  <c r="J95" i="45"/>
  <c r="K189" i="48"/>
  <c r="K192" i="48" s="1"/>
  <c r="K189" i="47"/>
  <c r="G189" i="49"/>
  <c r="G189" i="47"/>
  <c r="G189" i="48"/>
  <c r="F173" i="47"/>
  <c r="L95" i="45"/>
  <c r="D95" i="45"/>
  <c r="H95" i="45"/>
  <c r="F95" i="45"/>
  <c r="L119" i="44"/>
  <c r="K215" i="47"/>
  <c r="K217" i="47" s="1"/>
  <c r="G258" i="47"/>
  <c r="F258" i="47"/>
  <c r="E258" i="47"/>
  <c r="C258" i="47"/>
  <c r="B258" i="47"/>
  <c r="J258" i="47"/>
  <c r="I258" i="47"/>
  <c r="G95" i="45"/>
  <c r="C95" i="45"/>
  <c r="E106" i="47"/>
  <c r="E145" i="47" s="1"/>
  <c r="D106" i="47"/>
  <c r="D145" i="47" s="1"/>
  <c r="C106" i="47"/>
  <c r="C145" i="47" s="1"/>
  <c r="B106" i="47"/>
  <c r="B145" i="47" s="1"/>
  <c r="K97" i="47"/>
  <c r="I221" i="48" l="1"/>
  <c r="I217" i="48"/>
  <c r="I221" i="49"/>
  <c r="I217" i="49"/>
  <c r="I192" i="47"/>
  <c r="I196" i="47"/>
  <c r="I192" i="48"/>
  <c r="I196" i="48"/>
  <c r="G192" i="48"/>
  <c r="G196" i="48"/>
  <c r="K178" i="48" s="1"/>
  <c r="K196" i="48" s="1"/>
  <c r="G192" i="47"/>
  <c r="G196" i="47"/>
  <c r="K178" i="47" s="1"/>
  <c r="G192" i="49"/>
  <c r="G196" i="49"/>
  <c r="K178" i="49" s="1"/>
  <c r="C45" i="26"/>
  <c r="J83" i="47"/>
  <c r="I83" i="47"/>
  <c r="G83" i="47"/>
  <c r="F83" i="47"/>
  <c r="E83" i="47"/>
  <c r="E78" i="47" s="1"/>
  <c r="D83" i="47"/>
  <c r="C83" i="47"/>
  <c r="B83" i="47"/>
  <c r="B78" i="47" s="1"/>
  <c r="K69" i="47"/>
  <c r="J32" i="47"/>
  <c r="E32" i="47"/>
  <c r="D32" i="47"/>
  <c r="C32" i="47"/>
  <c r="B32" i="47"/>
  <c r="E30" i="47"/>
  <c r="D30" i="47"/>
  <c r="C30" i="47"/>
  <c r="B30" i="47"/>
  <c r="J18" i="47"/>
  <c r="I18" i="47"/>
  <c r="G18" i="47"/>
  <c r="F18" i="47"/>
  <c r="E18" i="47"/>
  <c r="D18" i="47"/>
  <c r="C18" i="47"/>
  <c r="B18" i="47"/>
  <c r="E262" i="47"/>
  <c r="D262" i="47"/>
  <c r="C262" i="47"/>
  <c r="B262" i="47"/>
  <c r="B246" i="47"/>
  <c r="I221" i="47"/>
  <c r="F221" i="47"/>
  <c r="E221" i="47"/>
  <c r="D221" i="47"/>
  <c r="C221" i="47"/>
  <c r="J217" i="47"/>
  <c r="B221" i="47"/>
  <c r="J178" i="47"/>
  <c r="B192" i="47"/>
  <c r="J190" i="47"/>
  <c r="K190" i="47" s="1"/>
  <c r="J185" i="47"/>
  <c r="J182" i="47"/>
  <c r="J180" i="47"/>
  <c r="J136" i="47"/>
  <c r="K136" i="47" s="1"/>
  <c r="K91" i="47"/>
  <c r="H127" i="12"/>
  <c r="L58" i="12"/>
  <c r="L59" i="12"/>
  <c r="J192" i="47" l="1"/>
  <c r="K188" i="47"/>
  <c r="K192" i="47" s="1"/>
  <c r="J196" i="47"/>
  <c r="E80" i="47"/>
  <c r="E144" i="47"/>
  <c r="B144" i="47"/>
  <c r="B80" i="47"/>
  <c r="J221" i="47"/>
  <c r="J13" i="16"/>
  <c r="K113" i="15"/>
  <c r="J113" i="15"/>
  <c r="K94" i="15"/>
  <c r="J94" i="15"/>
  <c r="L68" i="15"/>
  <c r="K68" i="15"/>
  <c r="J68" i="15"/>
  <c r="J42" i="15"/>
  <c r="L39" i="13"/>
  <c r="L40" i="13"/>
  <c r="L42" i="13"/>
  <c r="L44" i="13"/>
  <c r="L45" i="13"/>
  <c r="L46" i="13"/>
  <c r="L47" i="13"/>
  <c r="L49" i="13"/>
  <c r="L50" i="13"/>
  <c r="L51" i="13"/>
  <c r="L56" i="13"/>
  <c r="L57" i="13"/>
  <c r="L58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13" i="13"/>
  <c r="J32" i="8"/>
  <c r="H32" i="8"/>
  <c r="H33" i="7"/>
  <c r="L11" i="43"/>
  <c r="L12" i="43"/>
  <c r="L13" i="43"/>
  <c r="K196" i="47" l="1"/>
  <c r="K253" i="47"/>
  <c r="L17" i="43"/>
  <c r="L21" i="43" s="1"/>
  <c r="L59" i="43" s="1"/>
  <c r="K255" i="47"/>
  <c r="L34" i="13"/>
  <c r="K124" i="42"/>
  <c r="J124" i="42"/>
  <c r="H124" i="42"/>
  <c r="G124" i="42"/>
  <c r="F124" i="42"/>
  <c r="E124" i="42"/>
  <c r="D124" i="42"/>
  <c r="D128" i="42" s="1"/>
  <c r="D132" i="42" s="1"/>
  <c r="K75" i="42"/>
  <c r="J75" i="42"/>
  <c r="H75" i="42"/>
  <c r="G75" i="42"/>
  <c r="F75" i="42"/>
  <c r="E75" i="42"/>
  <c r="D75" i="42"/>
  <c r="J66" i="42"/>
  <c r="H66" i="42"/>
  <c r="G66" i="42"/>
  <c r="F66" i="42"/>
  <c r="E66" i="42"/>
  <c r="E128" i="42" s="1"/>
  <c r="E132" i="42" s="1"/>
  <c r="K55" i="42"/>
  <c r="J55" i="42"/>
  <c r="H55" i="42"/>
  <c r="G55" i="42"/>
  <c r="F55" i="42"/>
  <c r="E55" i="42"/>
  <c r="D55" i="42"/>
  <c r="E46" i="42"/>
  <c r="K42" i="42"/>
  <c r="H42" i="42"/>
  <c r="F42" i="42"/>
  <c r="E42" i="42"/>
  <c r="D42" i="42"/>
  <c r="J46" i="42"/>
  <c r="H27" i="42"/>
  <c r="G27" i="42"/>
  <c r="F27" i="42"/>
  <c r="L80" i="42"/>
  <c r="L81" i="42"/>
  <c r="L82" i="42"/>
  <c r="L83" i="42"/>
  <c r="L84" i="42"/>
  <c r="L85" i="42"/>
  <c r="L86" i="42"/>
  <c r="L87" i="42"/>
  <c r="L88" i="42"/>
  <c r="L89" i="42"/>
  <c r="L90" i="42"/>
  <c r="L91" i="42"/>
  <c r="L92" i="42"/>
  <c r="L93" i="42"/>
  <c r="L94" i="42"/>
  <c r="L95" i="42"/>
  <c r="L96" i="42"/>
  <c r="L97" i="42"/>
  <c r="L98" i="42"/>
  <c r="L99" i="42"/>
  <c r="L100" i="42"/>
  <c r="L101" i="42"/>
  <c r="L102" i="42"/>
  <c r="L103" i="42"/>
  <c r="L104" i="42"/>
  <c r="L105" i="42"/>
  <c r="L106" i="42"/>
  <c r="L107" i="42"/>
  <c r="L108" i="42"/>
  <c r="L109" i="42"/>
  <c r="L110" i="42"/>
  <c r="L111" i="42"/>
  <c r="L112" i="42"/>
  <c r="L113" i="42"/>
  <c r="L114" i="42"/>
  <c r="L115" i="42"/>
  <c r="L116" i="42"/>
  <c r="L117" i="42"/>
  <c r="L118" i="42"/>
  <c r="L119" i="42"/>
  <c r="L120" i="42"/>
  <c r="L71" i="42"/>
  <c r="L75" i="42" s="1"/>
  <c r="L60" i="42"/>
  <c r="L61" i="42"/>
  <c r="L62" i="42"/>
  <c r="L32" i="42"/>
  <c r="L33" i="42"/>
  <c r="L34" i="42"/>
  <c r="L35" i="42"/>
  <c r="L36" i="42"/>
  <c r="L37" i="42"/>
  <c r="L38" i="42"/>
  <c r="L11" i="42"/>
  <c r="L12" i="42"/>
  <c r="L13" i="42"/>
  <c r="L14" i="42"/>
  <c r="L15" i="42"/>
  <c r="L16" i="42"/>
  <c r="L17" i="42"/>
  <c r="L18" i="42"/>
  <c r="L19" i="42"/>
  <c r="L20" i="42"/>
  <c r="L21" i="42"/>
  <c r="L22" i="42"/>
  <c r="L23" i="42"/>
  <c r="L79" i="42"/>
  <c r="L70" i="42"/>
  <c r="L59" i="42"/>
  <c r="L51" i="42"/>
  <c r="L55" i="42" s="1"/>
  <c r="L31" i="42"/>
  <c r="L10" i="42"/>
  <c r="F96" i="29"/>
  <c r="E96" i="29"/>
  <c r="D96" i="29"/>
  <c r="C96" i="29"/>
  <c r="J92" i="29"/>
  <c r="H92" i="29"/>
  <c r="G92" i="29"/>
  <c r="F92" i="29"/>
  <c r="E92" i="29"/>
  <c r="D92" i="29"/>
  <c r="C92" i="29"/>
  <c r="L87" i="29"/>
  <c r="L88" i="29"/>
  <c r="K82" i="29"/>
  <c r="J82" i="29"/>
  <c r="H82" i="29"/>
  <c r="G82" i="29"/>
  <c r="F82" i="29"/>
  <c r="E82" i="29"/>
  <c r="D82" i="29"/>
  <c r="C82" i="29"/>
  <c r="K65" i="29"/>
  <c r="J65" i="29"/>
  <c r="H65" i="29"/>
  <c r="G65" i="29"/>
  <c r="F65" i="29"/>
  <c r="E65" i="29"/>
  <c r="D65" i="29"/>
  <c r="C65" i="29"/>
  <c r="K43" i="29"/>
  <c r="J43" i="29"/>
  <c r="J96" i="29" s="1"/>
  <c r="I106" i="49" s="1"/>
  <c r="H43" i="29"/>
  <c r="G43" i="29"/>
  <c r="F43" i="29"/>
  <c r="E43" i="29"/>
  <c r="D43" i="29"/>
  <c r="C43" i="29"/>
  <c r="K15" i="29"/>
  <c r="J15" i="29"/>
  <c r="H15" i="29"/>
  <c r="G15" i="29"/>
  <c r="F15" i="29"/>
  <c r="E15" i="29"/>
  <c r="D15" i="29"/>
  <c r="C15" i="29"/>
  <c r="L70" i="29"/>
  <c r="L71" i="29"/>
  <c r="L72" i="29"/>
  <c r="L73" i="29"/>
  <c r="L74" i="29"/>
  <c r="L75" i="29"/>
  <c r="L76" i="29"/>
  <c r="L77" i="29"/>
  <c r="L78" i="29"/>
  <c r="L48" i="29"/>
  <c r="L49" i="29"/>
  <c r="L50" i="29"/>
  <c r="L51" i="29"/>
  <c r="L52" i="29"/>
  <c r="L53" i="29"/>
  <c r="L54" i="29"/>
  <c r="L55" i="29"/>
  <c r="L56" i="29"/>
  <c r="L57" i="29"/>
  <c r="L58" i="29"/>
  <c r="L59" i="29"/>
  <c r="L60" i="29"/>
  <c r="L61" i="29"/>
  <c r="L86" i="29"/>
  <c r="L92" i="29" s="1"/>
  <c r="L69" i="29"/>
  <c r="L47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9" i="29"/>
  <c r="L11" i="29"/>
  <c r="L10" i="29"/>
  <c r="K45" i="26"/>
  <c r="J45" i="26"/>
  <c r="H45" i="26"/>
  <c r="G45" i="26"/>
  <c r="F45" i="26"/>
  <c r="E45" i="26"/>
  <c r="D45" i="26"/>
  <c r="K32" i="26"/>
  <c r="J32" i="26"/>
  <c r="I78" i="50" s="1"/>
  <c r="H32" i="26"/>
  <c r="G32" i="26"/>
  <c r="F78" i="48" s="1"/>
  <c r="F32" i="26"/>
  <c r="E32" i="26"/>
  <c r="D78" i="47" s="1"/>
  <c r="D32" i="26"/>
  <c r="C78" i="47" s="1"/>
  <c r="C32" i="26"/>
  <c r="L37" i="26"/>
  <c r="L38" i="26"/>
  <c r="L39" i="26"/>
  <c r="L40" i="26"/>
  <c r="L41" i="26"/>
  <c r="L36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10" i="26"/>
  <c r="K130" i="25"/>
  <c r="J130" i="25"/>
  <c r="H130" i="25"/>
  <c r="G130" i="25"/>
  <c r="F130" i="25"/>
  <c r="E130" i="25"/>
  <c r="D130" i="25"/>
  <c r="C130" i="25"/>
  <c r="K115" i="25"/>
  <c r="J115" i="25"/>
  <c r="H115" i="25"/>
  <c r="G115" i="25"/>
  <c r="F115" i="25"/>
  <c r="E115" i="25"/>
  <c r="D115" i="25"/>
  <c r="C115" i="25"/>
  <c r="K104" i="25"/>
  <c r="J104" i="25"/>
  <c r="H104" i="25"/>
  <c r="G104" i="25"/>
  <c r="F104" i="25"/>
  <c r="E104" i="25"/>
  <c r="D104" i="25"/>
  <c r="C104" i="25"/>
  <c r="K93" i="25"/>
  <c r="J93" i="25"/>
  <c r="H93" i="25"/>
  <c r="G93" i="25"/>
  <c r="F93" i="25"/>
  <c r="F134" i="25" s="1"/>
  <c r="F138" i="25" s="1"/>
  <c r="E93" i="25"/>
  <c r="E134" i="25" s="1"/>
  <c r="E138" i="25" s="1"/>
  <c r="D93" i="25"/>
  <c r="D134" i="25" s="1"/>
  <c r="D138" i="25" s="1"/>
  <c r="C93" i="25"/>
  <c r="C134" i="25" s="1"/>
  <c r="C138" i="25" s="1"/>
  <c r="K71" i="25"/>
  <c r="J71" i="25"/>
  <c r="H71" i="25"/>
  <c r="G71" i="25"/>
  <c r="F71" i="25"/>
  <c r="E71" i="25"/>
  <c r="D71" i="25"/>
  <c r="C71" i="25"/>
  <c r="K34" i="25"/>
  <c r="J34" i="25"/>
  <c r="H34" i="25"/>
  <c r="G34" i="25"/>
  <c r="F34" i="25"/>
  <c r="E34" i="25"/>
  <c r="D34" i="25"/>
  <c r="C34" i="25"/>
  <c r="L121" i="25"/>
  <c r="L122" i="25"/>
  <c r="L123" i="25"/>
  <c r="L124" i="25"/>
  <c r="L125" i="25"/>
  <c r="L126" i="25"/>
  <c r="L109" i="25"/>
  <c r="L110" i="25"/>
  <c r="L111" i="25"/>
  <c r="L98" i="25"/>
  <c r="L99" i="25"/>
  <c r="L100" i="25"/>
  <c r="L119" i="25"/>
  <c r="L108" i="25"/>
  <c r="L115" i="25" s="1"/>
  <c r="L97" i="25"/>
  <c r="L104" i="25" s="1"/>
  <c r="L76" i="25"/>
  <c r="L77" i="25"/>
  <c r="L78" i="25"/>
  <c r="L79" i="25"/>
  <c r="L80" i="25"/>
  <c r="L81" i="25"/>
  <c r="L82" i="25"/>
  <c r="L83" i="25"/>
  <c r="L84" i="25"/>
  <c r="L85" i="25"/>
  <c r="L86" i="25"/>
  <c r="L87" i="25"/>
  <c r="L88" i="25"/>
  <c r="L89" i="25"/>
  <c r="L75" i="25"/>
  <c r="L56" i="25"/>
  <c r="L57" i="25"/>
  <c r="L58" i="25"/>
  <c r="L59" i="25"/>
  <c r="L60" i="25"/>
  <c r="L61" i="25"/>
  <c r="L62" i="25"/>
  <c r="L63" i="25"/>
  <c r="L64" i="25"/>
  <c r="L65" i="25"/>
  <c r="L66" i="25"/>
  <c r="L67" i="25"/>
  <c r="L55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10" i="25"/>
  <c r="L74" i="24"/>
  <c r="K66" i="24"/>
  <c r="J66" i="24"/>
  <c r="H66" i="24"/>
  <c r="G66" i="24"/>
  <c r="F66" i="24"/>
  <c r="E66" i="24"/>
  <c r="D66" i="24"/>
  <c r="C66" i="24"/>
  <c r="L56" i="24"/>
  <c r="K51" i="24"/>
  <c r="J51" i="24"/>
  <c r="H51" i="24"/>
  <c r="G51" i="24"/>
  <c r="F51" i="24"/>
  <c r="E51" i="24"/>
  <c r="D51" i="24"/>
  <c r="C51" i="24"/>
  <c r="K43" i="24"/>
  <c r="J43" i="24"/>
  <c r="H43" i="24"/>
  <c r="G43" i="24"/>
  <c r="F43" i="24"/>
  <c r="E43" i="24"/>
  <c r="E78" i="24" s="1"/>
  <c r="E82" i="24" s="1"/>
  <c r="D167" i="47" s="1"/>
  <c r="D43" i="24"/>
  <c r="C43" i="24"/>
  <c r="L70" i="24"/>
  <c r="L68" i="24"/>
  <c r="L55" i="24"/>
  <c r="L47" i="24"/>
  <c r="L51" i="24" s="1"/>
  <c r="L39" i="24"/>
  <c r="L43" i="24" s="1"/>
  <c r="K18" i="24"/>
  <c r="K22" i="24" s="1"/>
  <c r="J18" i="24"/>
  <c r="J22" i="24" s="1"/>
  <c r="H18" i="24"/>
  <c r="H22" i="24" s="1"/>
  <c r="G18" i="24"/>
  <c r="G22" i="24" s="1"/>
  <c r="F18" i="24"/>
  <c r="F22" i="24" s="1"/>
  <c r="E18" i="24"/>
  <c r="E22" i="24" s="1"/>
  <c r="D18" i="24"/>
  <c r="D22" i="24" s="1"/>
  <c r="C18" i="24"/>
  <c r="C22" i="24" s="1"/>
  <c r="L11" i="24"/>
  <c r="K164" i="47" s="1"/>
  <c r="L12" i="24"/>
  <c r="L13" i="24"/>
  <c r="L14" i="24"/>
  <c r="L10" i="24"/>
  <c r="H24" i="23"/>
  <c r="G24" i="23"/>
  <c r="F24" i="23"/>
  <c r="E24" i="23"/>
  <c r="D24" i="23"/>
  <c r="C24" i="23"/>
  <c r="K20" i="23"/>
  <c r="K24" i="23" s="1"/>
  <c r="J20" i="23"/>
  <c r="J24" i="23" s="1"/>
  <c r="H20" i="23"/>
  <c r="G20" i="23"/>
  <c r="F20" i="23"/>
  <c r="E20" i="23"/>
  <c r="D20" i="23"/>
  <c r="C20" i="23"/>
  <c r="L14" i="23"/>
  <c r="L15" i="23"/>
  <c r="K44" i="47" s="1"/>
  <c r="L16" i="23"/>
  <c r="L13" i="23"/>
  <c r="K234" i="2"/>
  <c r="J234" i="2"/>
  <c r="H234" i="2"/>
  <c r="G234" i="2"/>
  <c r="F234" i="2"/>
  <c r="E234" i="2"/>
  <c r="D234" i="2"/>
  <c r="C234" i="2"/>
  <c r="K222" i="2"/>
  <c r="J222" i="2"/>
  <c r="H222" i="2"/>
  <c r="G222" i="2"/>
  <c r="F222" i="2"/>
  <c r="E222" i="2"/>
  <c r="D222" i="2"/>
  <c r="C222" i="2"/>
  <c r="K208" i="2"/>
  <c r="J208" i="2"/>
  <c r="H208" i="2"/>
  <c r="G208" i="2"/>
  <c r="F208" i="2"/>
  <c r="E208" i="2"/>
  <c r="D208" i="2"/>
  <c r="C208" i="2"/>
  <c r="K198" i="2"/>
  <c r="J198" i="2"/>
  <c r="H198" i="2"/>
  <c r="G198" i="2"/>
  <c r="F198" i="2"/>
  <c r="E198" i="2"/>
  <c r="D198" i="2"/>
  <c r="C198" i="2"/>
  <c r="K186" i="2"/>
  <c r="J186" i="2"/>
  <c r="H186" i="2"/>
  <c r="G186" i="2"/>
  <c r="F186" i="2"/>
  <c r="E186" i="2"/>
  <c r="D186" i="2"/>
  <c r="C186" i="2"/>
  <c r="K168" i="2"/>
  <c r="J168" i="2"/>
  <c r="H168" i="2"/>
  <c r="G168" i="2"/>
  <c r="F168" i="2"/>
  <c r="E168" i="2"/>
  <c r="D168" i="2"/>
  <c r="C168" i="2"/>
  <c r="K145" i="2"/>
  <c r="J145" i="2"/>
  <c r="H145" i="2"/>
  <c r="G145" i="2"/>
  <c r="F145" i="2"/>
  <c r="F238" i="2" s="1"/>
  <c r="E145" i="2"/>
  <c r="E238" i="2" s="1"/>
  <c r="D145" i="2"/>
  <c r="C145" i="2"/>
  <c r="K120" i="2"/>
  <c r="J120" i="2"/>
  <c r="H120" i="2"/>
  <c r="G120" i="2"/>
  <c r="F120" i="2"/>
  <c r="E120" i="2"/>
  <c r="D120" i="2"/>
  <c r="C120" i="2"/>
  <c r="K76" i="2"/>
  <c r="J76" i="2"/>
  <c r="H76" i="2"/>
  <c r="G76" i="2"/>
  <c r="F76" i="2"/>
  <c r="E76" i="2"/>
  <c r="D76" i="2"/>
  <c r="C76" i="2"/>
  <c r="K55" i="2"/>
  <c r="H55" i="2"/>
  <c r="G55" i="2"/>
  <c r="F55" i="2"/>
  <c r="E55" i="2"/>
  <c r="D55" i="2"/>
  <c r="D238" i="2" s="1"/>
  <c r="C55" i="2"/>
  <c r="C238" i="2" s="1"/>
  <c r="L228" i="2"/>
  <c r="L229" i="2"/>
  <c r="L230" i="2"/>
  <c r="L214" i="2"/>
  <c r="L215" i="2"/>
  <c r="L216" i="2"/>
  <c r="L217" i="2"/>
  <c r="L218" i="2"/>
  <c r="L204" i="2"/>
  <c r="L192" i="2"/>
  <c r="L193" i="2"/>
  <c r="L194" i="2"/>
  <c r="L174" i="2"/>
  <c r="L175" i="2"/>
  <c r="L176" i="2"/>
  <c r="L177" i="2"/>
  <c r="L178" i="2"/>
  <c r="L179" i="2"/>
  <c r="L180" i="2"/>
  <c r="L181" i="2"/>
  <c r="L182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61" i="2"/>
  <c r="L62" i="2"/>
  <c r="L63" i="2"/>
  <c r="L64" i="2"/>
  <c r="L65" i="2"/>
  <c r="L66" i="2"/>
  <c r="L67" i="2"/>
  <c r="L68" i="2"/>
  <c r="L69" i="2"/>
  <c r="L70" i="2"/>
  <c r="L71" i="2"/>
  <c r="L72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7" i="2"/>
  <c r="L48" i="2"/>
  <c r="L49" i="2"/>
  <c r="L50" i="2"/>
  <c r="L51" i="2"/>
  <c r="L227" i="2"/>
  <c r="L213" i="2"/>
  <c r="L203" i="2"/>
  <c r="L208" i="2" s="1"/>
  <c r="L191" i="2"/>
  <c r="L173" i="2"/>
  <c r="L150" i="2"/>
  <c r="L125" i="2"/>
  <c r="L81" i="2"/>
  <c r="L60" i="2"/>
  <c r="L10" i="2"/>
  <c r="K85" i="41"/>
  <c r="J85" i="41"/>
  <c r="I189" i="49" s="1"/>
  <c r="H85" i="41"/>
  <c r="G85" i="41"/>
  <c r="F85" i="41"/>
  <c r="E85" i="41"/>
  <c r="D85" i="41"/>
  <c r="C85" i="41"/>
  <c r="K75" i="41"/>
  <c r="J75" i="41"/>
  <c r="H75" i="41"/>
  <c r="G75" i="41"/>
  <c r="F75" i="41"/>
  <c r="E75" i="41"/>
  <c r="D75" i="41"/>
  <c r="C75" i="41"/>
  <c r="K65" i="41"/>
  <c r="J65" i="41"/>
  <c r="H65" i="41"/>
  <c r="H89" i="41" s="1"/>
  <c r="G125" i="49" s="1"/>
  <c r="G65" i="41"/>
  <c r="F65" i="41"/>
  <c r="F89" i="41" s="1"/>
  <c r="E65" i="41"/>
  <c r="E89" i="41" s="1"/>
  <c r="D65" i="41"/>
  <c r="D89" i="41" s="1"/>
  <c r="C65" i="41"/>
  <c r="C89" i="41" s="1"/>
  <c r="K52" i="41"/>
  <c r="J52" i="41"/>
  <c r="H52" i="41"/>
  <c r="G52" i="41"/>
  <c r="F52" i="41"/>
  <c r="E52" i="41"/>
  <c r="D52" i="41"/>
  <c r="C52" i="41"/>
  <c r="K34" i="41"/>
  <c r="J34" i="41"/>
  <c r="H34" i="41"/>
  <c r="G34" i="41"/>
  <c r="F34" i="41"/>
  <c r="E34" i="41"/>
  <c r="D34" i="41"/>
  <c r="C34" i="41"/>
  <c r="L80" i="41"/>
  <c r="L81" i="41"/>
  <c r="L70" i="41"/>
  <c r="L71" i="41"/>
  <c r="L57" i="41"/>
  <c r="L58" i="41"/>
  <c r="L59" i="41"/>
  <c r="L60" i="41"/>
  <c r="L61" i="41"/>
  <c r="L39" i="41"/>
  <c r="L40" i="41"/>
  <c r="L41" i="41"/>
  <c r="L42" i="41"/>
  <c r="L43" i="41"/>
  <c r="L44" i="41"/>
  <c r="L45" i="41"/>
  <c r="L46" i="41"/>
  <c r="L47" i="41"/>
  <c r="L48" i="41"/>
  <c r="L14" i="41"/>
  <c r="L15" i="41"/>
  <c r="L16" i="41"/>
  <c r="L17" i="41"/>
  <c r="L18" i="41"/>
  <c r="L19" i="41"/>
  <c r="L20" i="41"/>
  <c r="L21" i="41"/>
  <c r="L22" i="41"/>
  <c r="L23" i="41"/>
  <c r="L24" i="41"/>
  <c r="L25" i="41"/>
  <c r="L26" i="41"/>
  <c r="L27" i="41"/>
  <c r="L28" i="41"/>
  <c r="L29" i="41"/>
  <c r="L30" i="41"/>
  <c r="L79" i="41"/>
  <c r="L69" i="41"/>
  <c r="L56" i="41"/>
  <c r="L38" i="41"/>
  <c r="L13" i="41"/>
  <c r="K88" i="40"/>
  <c r="J88" i="40"/>
  <c r="F88" i="40"/>
  <c r="E88" i="40"/>
  <c r="D88" i="40"/>
  <c r="C88" i="40"/>
  <c r="K78" i="40"/>
  <c r="J78" i="40"/>
  <c r="H78" i="40"/>
  <c r="G78" i="40"/>
  <c r="F78" i="40"/>
  <c r="E78" i="40"/>
  <c r="D78" i="40"/>
  <c r="C78" i="40"/>
  <c r="K67" i="40"/>
  <c r="J67" i="40"/>
  <c r="H67" i="40"/>
  <c r="G67" i="40"/>
  <c r="F67" i="40"/>
  <c r="E67" i="40"/>
  <c r="D67" i="40"/>
  <c r="C67" i="40"/>
  <c r="K54" i="40"/>
  <c r="J54" i="40"/>
  <c r="H54" i="40"/>
  <c r="G54" i="40"/>
  <c r="F54" i="40"/>
  <c r="E54" i="40"/>
  <c r="D54" i="40"/>
  <c r="C54" i="40"/>
  <c r="K34" i="40"/>
  <c r="K92" i="40" s="1"/>
  <c r="J34" i="40"/>
  <c r="H34" i="40"/>
  <c r="G34" i="40"/>
  <c r="F34" i="40"/>
  <c r="F92" i="40" s="1"/>
  <c r="E34" i="40"/>
  <c r="E92" i="40" s="1"/>
  <c r="D34" i="40"/>
  <c r="D92" i="40" s="1"/>
  <c r="C34" i="40"/>
  <c r="L82" i="40"/>
  <c r="L72" i="40"/>
  <c r="L73" i="40"/>
  <c r="L74" i="40"/>
  <c r="L59" i="40"/>
  <c r="L60" i="40"/>
  <c r="L61" i="40"/>
  <c r="L62" i="40"/>
  <c r="L63" i="40"/>
  <c r="L39" i="40"/>
  <c r="L40" i="40"/>
  <c r="L41" i="40"/>
  <c r="L42" i="40"/>
  <c r="L43" i="40"/>
  <c r="L44" i="40"/>
  <c r="L45" i="40"/>
  <c r="L46" i="40"/>
  <c r="L47" i="40"/>
  <c r="L48" i="40"/>
  <c r="L49" i="40"/>
  <c r="L50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84" i="40"/>
  <c r="L71" i="40"/>
  <c r="L58" i="40"/>
  <c r="L38" i="40"/>
  <c r="L13" i="40"/>
  <c r="K93" i="39"/>
  <c r="J93" i="39"/>
  <c r="H93" i="39"/>
  <c r="G93" i="39"/>
  <c r="F93" i="39"/>
  <c r="E93" i="39"/>
  <c r="D93" i="39"/>
  <c r="C93" i="39"/>
  <c r="K82" i="39"/>
  <c r="J82" i="39"/>
  <c r="H82" i="39"/>
  <c r="G82" i="39"/>
  <c r="F82" i="39"/>
  <c r="E82" i="39"/>
  <c r="D82" i="39"/>
  <c r="C82" i="39"/>
  <c r="K71" i="39"/>
  <c r="J71" i="39"/>
  <c r="H71" i="39"/>
  <c r="G71" i="39"/>
  <c r="F71" i="39"/>
  <c r="E71" i="39"/>
  <c r="E97" i="39" s="1"/>
  <c r="D71" i="39"/>
  <c r="D97" i="39" s="1"/>
  <c r="C71" i="39"/>
  <c r="C97" i="39" s="1"/>
  <c r="K57" i="39"/>
  <c r="J57" i="39"/>
  <c r="H57" i="39"/>
  <c r="G57" i="39"/>
  <c r="F57" i="39"/>
  <c r="E57" i="39"/>
  <c r="D57" i="39"/>
  <c r="C57" i="39"/>
  <c r="K36" i="39"/>
  <c r="J36" i="39"/>
  <c r="H36" i="39"/>
  <c r="G36" i="39"/>
  <c r="F36" i="39"/>
  <c r="E36" i="39"/>
  <c r="D36" i="39"/>
  <c r="C36" i="39"/>
  <c r="L87" i="39"/>
  <c r="L88" i="39"/>
  <c r="L89" i="39"/>
  <c r="L76" i="39"/>
  <c r="L77" i="39"/>
  <c r="L78" i="39"/>
  <c r="L62" i="39"/>
  <c r="L63" i="39"/>
  <c r="L64" i="39"/>
  <c r="L65" i="39"/>
  <c r="L66" i="39"/>
  <c r="L67" i="39"/>
  <c r="L41" i="39"/>
  <c r="L42" i="39"/>
  <c r="L43" i="39"/>
  <c r="L44" i="39"/>
  <c r="L45" i="39"/>
  <c r="L46" i="39"/>
  <c r="L47" i="39"/>
  <c r="L48" i="39"/>
  <c r="L49" i="39"/>
  <c r="L50" i="39"/>
  <c r="L51" i="39"/>
  <c r="L52" i="39"/>
  <c r="L53" i="39"/>
  <c r="L14" i="39"/>
  <c r="L15" i="39"/>
  <c r="L16" i="39"/>
  <c r="L17" i="39"/>
  <c r="L18" i="39"/>
  <c r="L19" i="39"/>
  <c r="L20" i="39"/>
  <c r="L21" i="39"/>
  <c r="L22" i="39"/>
  <c r="L23" i="39"/>
  <c r="L24" i="39"/>
  <c r="L25" i="39"/>
  <c r="L26" i="39"/>
  <c r="L27" i="39"/>
  <c r="L28" i="39"/>
  <c r="L29" i="39"/>
  <c r="L30" i="39"/>
  <c r="L31" i="39"/>
  <c r="L32" i="39"/>
  <c r="L86" i="39"/>
  <c r="L75" i="39"/>
  <c r="L61" i="39"/>
  <c r="L40" i="39"/>
  <c r="L13" i="39"/>
  <c r="K92" i="38"/>
  <c r="J92" i="38"/>
  <c r="H92" i="38"/>
  <c r="G92" i="38"/>
  <c r="F92" i="38"/>
  <c r="E92" i="38"/>
  <c r="D92" i="38"/>
  <c r="C92" i="38"/>
  <c r="K81" i="38"/>
  <c r="J81" i="38"/>
  <c r="H81" i="38"/>
  <c r="G81" i="38"/>
  <c r="F81" i="38"/>
  <c r="E81" i="38"/>
  <c r="D81" i="38"/>
  <c r="C81" i="38"/>
  <c r="K69" i="38"/>
  <c r="J69" i="38"/>
  <c r="H69" i="38"/>
  <c r="G69" i="38"/>
  <c r="F69" i="38"/>
  <c r="E69" i="38"/>
  <c r="D69" i="38"/>
  <c r="C69" i="38"/>
  <c r="K54" i="38"/>
  <c r="J54" i="38"/>
  <c r="H54" i="38"/>
  <c r="G54" i="38"/>
  <c r="F54" i="38"/>
  <c r="E54" i="38"/>
  <c r="D54" i="38"/>
  <c r="C54" i="38"/>
  <c r="K35" i="38"/>
  <c r="J35" i="38"/>
  <c r="H35" i="38"/>
  <c r="G35" i="38"/>
  <c r="F35" i="38"/>
  <c r="E35" i="38"/>
  <c r="D35" i="38"/>
  <c r="C35" i="38"/>
  <c r="L87" i="38"/>
  <c r="L88" i="38"/>
  <c r="L74" i="38"/>
  <c r="L75" i="38"/>
  <c r="L76" i="38"/>
  <c r="L77" i="38"/>
  <c r="L59" i="38"/>
  <c r="L60" i="38"/>
  <c r="L61" i="38"/>
  <c r="L62" i="38"/>
  <c r="L63" i="38"/>
  <c r="L64" i="38"/>
  <c r="L65" i="38"/>
  <c r="L40" i="38"/>
  <c r="L41" i="38"/>
  <c r="L42" i="38"/>
  <c r="L43" i="38"/>
  <c r="L44" i="38"/>
  <c r="L45" i="38"/>
  <c r="L46" i="38"/>
  <c r="L47" i="38"/>
  <c r="L48" i="38"/>
  <c r="L49" i="38"/>
  <c r="L50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1" i="38"/>
  <c r="L85" i="38"/>
  <c r="L92" i="38" s="1"/>
  <c r="L73" i="38"/>
  <c r="L58" i="38"/>
  <c r="L39" i="38"/>
  <c r="L13" i="38"/>
  <c r="J101" i="37"/>
  <c r="H101" i="37"/>
  <c r="G101" i="37"/>
  <c r="F101" i="37"/>
  <c r="E101" i="37"/>
  <c r="D101" i="37"/>
  <c r="C101" i="37"/>
  <c r="K87" i="37"/>
  <c r="J87" i="37"/>
  <c r="H87" i="37"/>
  <c r="G87" i="37"/>
  <c r="F87" i="37"/>
  <c r="E87" i="37"/>
  <c r="D87" i="37"/>
  <c r="C87" i="37"/>
  <c r="K74" i="37"/>
  <c r="J74" i="37"/>
  <c r="H74" i="37"/>
  <c r="G74" i="37"/>
  <c r="F74" i="37"/>
  <c r="E74" i="37"/>
  <c r="D74" i="37"/>
  <c r="C74" i="37"/>
  <c r="K61" i="37"/>
  <c r="J61" i="37"/>
  <c r="H61" i="37"/>
  <c r="G61" i="37"/>
  <c r="F61" i="37"/>
  <c r="E61" i="37"/>
  <c r="D61" i="37"/>
  <c r="C61" i="37"/>
  <c r="K36" i="37"/>
  <c r="J36" i="37"/>
  <c r="H36" i="37"/>
  <c r="G36" i="37"/>
  <c r="F36" i="37"/>
  <c r="F105" i="37" s="1"/>
  <c r="E36" i="37"/>
  <c r="E105" i="37" s="1"/>
  <c r="D36" i="37"/>
  <c r="C36" i="37"/>
  <c r="C105" i="37" s="1"/>
  <c r="L97" i="37"/>
  <c r="L79" i="37"/>
  <c r="L80" i="37"/>
  <c r="L81" i="37"/>
  <c r="L82" i="37"/>
  <c r="L83" i="37"/>
  <c r="L66" i="37"/>
  <c r="L67" i="37"/>
  <c r="L68" i="37"/>
  <c r="L69" i="37"/>
  <c r="L70" i="37"/>
  <c r="L41" i="37"/>
  <c r="L42" i="37"/>
  <c r="L43" i="37"/>
  <c r="L44" i="37"/>
  <c r="L45" i="37"/>
  <c r="L46" i="37"/>
  <c r="L47" i="37"/>
  <c r="L48" i="37"/>
  <c r="L49" i="37"/>
  <c r="L50" i="37"/>
  <c r="L51" i="37"/>
  <c r="L52" i="37"/>
  <c r="L53" i="37"/>
  <c r="L54" i="37"/>
  <c r="L57" i="37"/>
  <c r="L14" i="37"/>
  <c r="L15" i="37"/>
  <c r="L16" i="37"/>
  <c r="L17" i="37"/>
  <c r="L18" i="37"/>
  <c r="L19" i="37"/>
  <c r="L20" i="37"/>
  <c r="L21" i="37"/>
  <c r="L22" i="37"/>
  <c r="L23" i="37"/>
  <c r="L24" i="37"/>
  <c r="L25" i="37"/>
  <c r="L26" i="37"/>
  <c r="L27" i="37"/>
  <c r="L28" i="37"/>
  <c r="L29" i="37"/>
  <c r="L30" i="37"/>
  <c r="L31" i="37"/>
  <c r="L32" i="37"/>
  <c r="L91" i="37"/>
  <c r="L78" i="37"/>
  <c r="L65" i="37"/>
  <c r="L40" i="37"/>
  <c r="L13" i="37"/>
  <c r="K93" i="36"/>
  <c r="J93" i="36"/>
  <c r="H93" i="36"/>
  <c r="G93" i="36"/>
  <c r="F93" i="36"/>
  <c r="E93" i="36"/>
  <c r="D93" i="36"/>
  <c r="C93" i="36"/>
  <c r="K81" i="36"/>
  <c r="J81" i="36"/>
  <c r="H81" i="36"/>
  <c r="G81" i="36"/>
  <c r="F81" i="36"/>
  <c r="E81" i="36"/>
  <c r="D81" i="36"/>
  <c r="C81" i="36"/>
  <c r="K67" i="36"/>
  <c r="J67" i="36"/>
  <c r="H67" i="36"/>
  <c r="G67" i="36"/>
  <c r="F67" i="36"/>
  <c r="E67" i="36"/>
  <c r="E97" i="36" s="1"/>
  <c r="D67" i="36"/>
  <c r="D97" i="36" s="1"/>
  <c r="C67" i="36"/>
  <c r="C97" i="36" s="1"/>
  <c r="K54" i="36"/>
  <c r="J54" i="36"/>
  <c r="H54" i="36"/>
  <c r="G54" i="36"/>
  <c r="F54" i="36"/>
  <c r="E54" i="36"/>
  <c r="D54" i="36"/>
  <c r="C54" i="36"/>
  <c r="K34" i="36"/>
  <c r="J34" i="36"/>
  <c r="H34" i="36"/>
  <c r="G34" i="36"/>
  <c r="F34" i="36"/>
  <c r="E34" i="36"/>
  <c r="D34" i="36"/>
  <c r="C34" i="36"/>
  <c r="L86" i="36"/>
  <c r="L87" i="36"/>
  <c r="L88" i="36"/>
  <c r="L89" i="36"/>
  <c r="L72" i="36"/>
  <c r="L73" i="36"/>
  <c r="L74" i="36"/>
  <c r="L75" i="36"/>
  <c r="L76" i="36"/>
  <c r="L77" i="36"/>
  <c r="L59" i="36"/>
  <c r="L60" i="36"/>
  <c r="L61" i="36"/>
  <c r="L62" i="36"/>
  <c r="L63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85" i="36"/>
  <c r="L71" i="36"/>
  <c r="L58" i="36"/>
  <c r="L38" i="36"/>
  <c r="L13" i="36"/>
  <c r="K94" i="35"/>
  <c r="J94" i="35"/>
  <c r="H94" i="35"/>
  <c r="G94" i="35"/>
  <c r="F94" i="35"/>
  <c r="E94" i="35"/>
  <c r="D94" i="35"/>
  <c r="C94" i="35"/>
  <c r="K82" i="35"/>
  <c r="J82" i="35"/>
  <c r="H82" i="35"/>
  <c r="G82" i="35"/>
  <c r="F82" i="35"/>
  <c r="E82" i="35"/>
  <c r="D82" i="35"/>
  <c r="C82" i="35"/>
  <c r="K68" i="35"/>
  <c r="J68" i="35"/>
  <c r="H68" i="35"/>
  <c r="G68" i="35"/>
  <c r="F68" i="35"/>
  <c r="F98" i="35" s="1"/>
  <c r="E68" i="35"/>
  <c r="E98" i="35" s="1"/>
  <c r="D68" i="35"/>
  <c r="D98" i="35" s="1"/>
  <c r="C68" i="35"/>
  <c r="C98" i="35" s="1"/>
  <c r="K55" i="35"/>
  <c r="J55" i="35"/>
  <c r="H55" i="35"/>
  <c r="G55" i="35"/>
  <c r="F55" i="35"/>
  <c r="E55" i="35"/>
  <c r="D55" i="35"/>
  <c r="C55" i="35"/>
  <c r="K35" i="35"/>
  <c r="J35" i="35"/>
  <c r="H35" i="35"/>
  <c r="G35" i="35"/>
  <c r="F35" i="35"/>
  <c r="E35" i="35"/>
  <c r="D35" i="35"/>
  <c r="C35" i="35"/>
  <c r="L87" i="35"/>
  <c r="L88" i="35"/>
  <c r="L89" i="35"/>
  <c r="L90" i="35"/>
  <c r="L73" i="35"/>
  <c r="L74" i="35"/>
  <c r="L75" i="35"/>
  <c r="L76" i="35"/>
  <c r="L77" i="35"/>
  <c r="L78" i="35"/>
  <c r="L60" i="35"/>
  <c r="L61" i="35"/>
  <c r="L62" i="35"/>
  <c r="L63" i="35"/>
  <c r="L64" i="35"/>
  <c r="L40" i="35"/>
  <c r="L41" i="35"/>
  <c r="L42" i="35"/>
  <c r="L43" i="35"/>
  <c r="L44" i="35"/>
  <c r="L45" i="35"/>
  <c r="L46" i="35"/>
  <c r="L47" i="35"/>
  <c r="L48" i="35"/>
  <c r="L49" i="35"/>
  <c r="L50" i="35"/>
  <c r="L51" i="35"/>
  <c r="L14" i="35"/>
  <c r="L15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31" i="35"/>
  <c r="L86" i="35"/>
  <c r="L72" i="35"/>
  <c r="L59" i="35"/>
  <c r="L39" i="35"/>
  <c r="L13" i="35"/>
  <c r="K110" i="33"/>
  <c r="J110" i="33"/>
  <c r="H110" i="33"/>
  <c r="G110" i="33"/>
  <c r="F110" i="33"/>
  <c r="E110" i="33"/>
  <c r="D110" i="33"/>
  <c r="C110" i="33"/>
  <c r="K96" i="33"/>
  <c r="J96" i="33"/>
  <c r="H96" i="33"/>
  <c r="G96" i="33"/>
  <c r="F96" i="33"/>
  <c r="E96" i="33"/>
  <c r="D96" i="33"/>
  <c r="C96" i="33"/>
  <c r="K80" i="33"/>
  <c r="J80" i="33"/>
  <c r="H80" i="33"/>
  <c r="G80" i="33"/>
  <c r="F80" i="33"/>
  <c r="E80" i="33"/>
  <c r="D80" i="33"/>
  <c r="C80" i="33"/>
  <c r="K65" i="33"/>
  <c r="J65" i="33"/>
  <c r="H65" i="33"/>
  <c r="G65" i="33"/>
  <c r="F65" i="33"/>
  <c r="E65" i="33"/>
  <c r="D65" i="33"/>
  <c r="C65" i="33"/>
  <c r="K37" i="33"/>
  <c r="J37" i="33"/>
  <c r="H37" i="33"/>
  <c r="G37" i="33"/>
  <c r="F37" i="33"/>
  <c r="F114" i="33" s="1"/>
  <c r="E37" i="33"/>
  <c r="E114" i="33" s="1"/>
  <c r="D37" i="33"/>
  <c r="D114" i="33" s="1"/>
  <c r="C37" i="33"/>
  <c r="C114" i="33" s="1"/>
  <c r="L102" i="33"/>
  <c r="L103" i="33"/>
  <c r="L105" i="33"/>
  <c r="L106" i="33"/>
  <c r="L85" i="33"/>
  <c r="L88" i="33"/>
  <c r="L90" i="33"/>
  <c r="L92" i="33"/>
  <c r="L70" i="33"/>
  <c r="L71" i="33"/>
  <c r="L72" i="33"/>
  <c r="L73" i="33"/>
  <c r="L74" i="33"/>
  <c r="L75" i="33"/>
  <c r="L76" i="33"/>
  <c r="L42" i="33"/>
  <c r="L43" i="33"/>
  <c r="L44" i="33"/>
  <c r="L45" i="33"/>
  <c r="L48" i="33"/>
  <c r="L49" i="33"/>
  <c r="L50" i="33"/>
  <c r="L51" i="33"/>
  <c r="L52" i="33"/>
  <c r="L53" i="33"/>
  <c r="L54" i="33"/>
  <c r="L55" i="33"/>
  <c r="L56" i="33"/>
  <c r="L57" i="33"/>
  <c r="L58" i="33"/>
  <c r="L59" i="33"/>
  <c r="L60" i="33"/>
  <c r="L61" i="33"/>
  <c r="L100" i="33"/>
  <c r="L84" i="33"/>
  <c r="L69" i="33"/>
  <c r="L41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13" i="33"/>
  <c r="K100" i="34"/>
  <c r="J100" i="34"/>
  <c r="H100" i="34"/>
  <c r="G100" i="34"/>
  <c r="F100" i="34"/>
  <c r="E100" i="34"/>
  <c r="D100" i="34"/>
  <c r="C100" i="34"/>
  <c r="K89" i="34"/>
  <c r="J89" i="34"/>
  <c r="H89" i="34"/>
  <c r="G89" i="34"/>
  <c r="F89" i="34"/>
  <c r="E89" i="34"/>
  <c r="D89" i="34"/>
  <c r="C89" i="34"/>
  <c r="K72" i="34"/>
  <c r="J72" i="34"/>
  <c r="H72" i="34"/>
  <c r="G72" i="34"/>
  <c r="F72" i="34"/>
  <c r="E72" i="34"/>
  <c r="D72" i="34"/>
  <c r="C72" i="34"/>
  <c r="K59" i="34"/>
  <c r="J59" i="34"/>
  <c r="H59" i="34"/>
  <c r="G59" i="34"/>
  <c r="F59" i="34"/>
  <c r="E59" i="34"/>
  <c r="D59" i="34"/>
  <c r="C59" i="34"/>
  <c r="K39" i="34"/>
  <c r="J39" i="34"/>
  <c r="H39" i="34"/>
  <c r="H104" i="34" s="1"/>
  <c r="G114" i="49" s="1"/>
  <c r="G39" i="34"/>
  <c r="F39" i="34"/>
  <c r="E39" i="34"/>
  <c r="D39" i="34"/>
  <c r="C39" i="34"/>
  <c r="L94" i="34"/>
  <c r="L95" i="34"/>
  <c r="L96" i="34"/>
  <c r="L80" i="34"/>
  <c r="L81" i="34"/>
  <c r="L82" i="34"/>
  <c r="L85" i="34"/>
  <c r="L64" i="34"/>
  <c r="L65" i="34"/>
  <c r="L66" i="34"/>
  <c r="L67" i="34"/>
  <c r="L68" i="34"/>
  <c r="L44" i="34"/>
  <c r="L45" i="34"/>
  <c r="L46" i="34"/>
  <c r="L47" i="34"/>
  <c r="L48" i="34"/>
  <c r="L49" i="34"/>
  <c r="L50" i="34"/>
  <c r="L51" i="34"/>
  <c r="L52" i="34"/>
  <c r="L53" i="34"/>
  <c r="L54" i="34"/>
  <c r="L55" i="34"/>
  <c r="L14" i="34"/>
  <c r="L15" i="34"/>
  <c r="L16" i="34"/>
  <c r="L17" i="34"/>
  <c r="L18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L34" i="34"/>
  <c r="L35" i="34"/>
  <c r="L93" i="34"/>
  <c r="L76" i="34"/>
  <c r="L63" i="34"/>
  <c r="L43" i="34"/>
  <c r="L13" i="34"/>
  <c r="H89" i="32"/>
  <c r="K85" i="32"/>
  <c r="J85" i="32"/>
  <c r="H85" i="32"/>
  <c r="G85" i="32"/>
  <c r="F85" i="32"/>
  <c r="E85" i="32"/>
  <c r="D85" i="32"/>
  <c r="C85" i="32"/>
  <c r="K75" i="32"/>
  <c r="J75" i="32"/>
  <c r="H75" i="32"/>
  <c r="G75" i="32"/>
  <c r="F75" i="32"/>
  <c r="E75" i="32"/>
  <c r="D75" i="32"/>
  <c r="C75" i="32"/>
  <c r="K65" i="32"/>
  <c r="J65" i="32"/>
  <c r="H65" i="32"/>
  <c r="G65" i="32"/>
  <c r="F65" i="32"/>
  <c r="F89" i="32" s="1"/>
  <c r="E65" i="32"/>
  <c r="E89" i="32" s="1"/>
  <c r="D65" i="32"/>
  <c r="D89" i="32" s="1"/>
  <c r="C65" i="32"/>
  <c r="C89" i="32" s="1"/>
  <c r="K53" i="32"/>
  <c r="J53" i="32"/>
  <c r="H53" i="32"/>
  <c r="G53" i="32"/>
  <c r="F53" i="32"/>
  <c r="E53" i="32"/>
  <c r="D53" i="32"/>
  <c r="C53" i="32"/>
  <c r="K36" i="32"/>
  <c r="J36" i="32"/>
  <c r="J89" i="32" s="1"/>
  <c r="H36" i="32"/>
  <c r="G36" i="32"/>
  <c r="F36" i="32"/>
  <c r="E36" i="32"/>
  <c r="D36" i="32"/>
  <c r="C36" i="32"/>
  <c r="L80" i="32"/>
  <c r="L81" i="32"/>
  <c r="L70" i="32"/>
  <c r="L71" i="32"/>
  <c r="L58" i="32"/>
  <c r="L59" i="32"/>
  <c r="L60" i="32"/>
  <c r="L61" i="32"/>
  <c r="L41" i="32"/>
  <c r="L42" i="32"/>
  <c r="L43" i="32"/>
  <c r="L44" i="32"/>
  <c r="L45" i="32"/>
  <c r="L46" i="32"/>
  <c r="L47" i="32"/>
  <c r="L48" i="32"/>
  <c r="L49" i="32"/>
  <c r="L79" i="32"/>
  <c r="L69" i="32"/>
  <c r="L57" i="32"/>
  <c r="L40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13" i="32"/>
  <c r="K100" i="30"/>
  <c r="J100" i="30"/>
  <c r="H100" i="30"/>
  <c r="G100" i="30"/>
  <c r="F100" i="30"/>
  <c r="E100" i="30"/>
  <c r="D100" i="30"/>
  <c r="C100" i="30"/>
  <c r="K89" i="30"/>
  <c r="J89" i="30"/>
  <c r="H89" i="30"/>
  <c r="G89" i="30"/>
  <c r="F89" i="30"/>
  <c r="E89" i="30"/>
  <c r="D89" i="30"/>
  <c r="C89" i="30"/>
  <c r="K73" i="30"/>
  <c r="J73" i="30"/>
  <c r="H73" i="30"/>
  <c r="G73" i="30"/>
  <c r="F73" i="30"/>
  <c r="E73" i="30"/>
  <c r="D73" i="30"/>
  <c r="C73" i="30"/>
  <c r="K60" i="30"/>
  <c r="J60" i="30"/>
  <c r="H60" i="30"/>
  <c r="G60" i="30"/>
  <c r="F60" i="30"/>
  <c r="E60" i="30"/>
  <c r="D60" i="30"/>
  <c r="C60" i="30"/>
  <c r="K37" i="30"/>
  <c r="J37" i="30"/>
  <c r="H37" i="30"/>
  <c r="G37" i="30"/>
  <c r="F37" i="30"/>
  <c r="E37" i="30"/>
  <c r="D37" i="30"/>
  <c r="C37" i="30"/>
  <c r="L94" i="30"/>
  <c r="L95" i="30"/>
  <c r="L96" i="30"/>
  <c r="L78" i="30"/>
  <c r="L79" i="30"/>
  <c r="L80" i="30"/>
  <c r="L81" i="30"/>
  <c r="L82" i="30"/>
  <c r="L83" i="30"/>
  <c r="L84" i="30"/>
  <c r="L85" i="30"/>
  <c r="L65" i="30"/>
  <c r="L66" i="30"/>
  <c r="L67" i="30"/>
  <c r="L68" i="30"/>
  <c r="L69" i="30"/>
  <c r="L42" i="30"/>
  <c r="L43" i="30"/>
  <c r="L44" i="30"/>
  <c r="L45" i="30"/>
  <c r="L46" i="30"/>
  <c r="L47" i="30"/>
  <c r="L48" i="30"/>
  <c r="L49" i="30"/>
  <c r="L50" i="30"/>
  <c r="L51" i="30"/>
  <c r="L52" i="30"/>
  <c r="L53" i="30"/>
  <c r="L54" i="30"/>
  <c r="L55" i="30"/>
  <c r="L56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93" i="30"/>
  <c r="L77" i="30"/>
  <c r="L64" i="30"/>
  <c r="L41" i="30"/>
  <c r="L13" i="30"/>
  <c r="K104" i="28"/>
  <c r="J104" i="28"/>
  <c r="H104" i="28"/>
  <c r="G104" i="28"/>
  <c r="F104" i="28"/>
  <c r="E104" i="28"/>
  <c r="D104" i="28"/>
  <c r="C104" i="28"/>
  <c r="K93" i="28"/>
  <c r="J93" i="28"/>
  <c r="H93" i="28"/>
  <c r="G93" i="28"/>
  <c r="F93" i="28"/>
  <c r="E93" i="28"/>
  <c r="D93" i="28"/>
  <c r="C93" i="28"/>
  <c r="K80" i="28"/>
  <c r="J80" i="28"/>
  <c r="H80" i="28"/>
  <c r="G80" i="28"/>
  <c r="F80" i="28"/>
  <c r="E80" i="28"/>
  <c r="D80" i="28"/>
  <c r="C80" i="28"/>
  <c r="K63" i="28"/>
  <c r="J63" i="28"/>
  <c r="H63" i="28"/>
  <c r="G63" i="28"/>
  <c r="F63" i="28"/>
  <c r="E63" i="28"/>
  <c r="D63" i="28"/>
  <c r="C63" i="28"/>
  <c r="K37" i="28"/>
  <c r="J37" i="28"/>
  <c r="H37" i="28"/>
  <c r="G37" i="28"/>
  <c r="F37" i="28"/>
  <c r="F108" i="28" s="1"/>
  <c r="E88" i="49" s="1"/>
  <c r="E93" i="49" s="1"/>
  <c r="E37" i="28"/>
  <c r="E108" i="28" s="1"/>
  <c r="D88" i="49" s="1"/>
  <c r="D93" i="49" s="1"/>
  <c r="D37" i="28"/>
  <c r="D108" i="28" s="1"/>
  <c r="C88" i="49" s="1"/>
  <c r="C93" i="49" s="1"/>
  <c r="C37" i="28"/>
  <c r="C108" i="28" s="1"/>
  <c r="B88" i="49" s="1"/>
  <c r="B93" i="49" s="1"/>
  <c r="L98" i="28"/>
  <c r="L99" i="28"/>
  <c r="L100" i="28"/>
  <c r="L85" i="28"/>
  <c r="L86" i="28"/>
  <c r="L87" i="28"/>
  <c r="L88" i="28"/>
  <c r="L89" i="28"/>
  <c r="L68" i="28"/>
  <c r="L69" i="28"/>
  <c r="L70" i="28"/>
  <c r="L71" i="28"/>
  <c r="L72" i="28"/>
  <c r="L73" i="28"/>
  <c r="L74" i="28"/>
  <c r="L75" i="28"/>
  <c r="L76" i="28"/>
  <c r="L42" i="28"/>
  <c r="L43" i="28"/>
  <c r="L44" i="28"/>
  <c r="L45" i="28"/>
  <c r="L46" i="28"/>
  <c r="L47" i="28"/>
  <c r="L49" i="28"/>
  <c r="L50" i="28"/>
  <c r="L51" i="28"/>
  <c r="L52" i="28"/>
  <c r="L53" i="28"/>
  <c r="L54" i="28"/>
  <c r="L55" i="28"/>
  <c r="L56" i="28"/>
  <c r="L57" i="28"/>
  <c r="L58" i="28"/>
  <c r="L59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2" i="28"/>
  <c r="L33" i="28"/>
  <c r="L97" i="28"/>
  <c r="L84" i="28"/>
  <c r="L67" i="28"/>
  <c r="L41" i="28"/>
  <c r="L13" i="28"/>
  <c r="K113" i="27"/>
  <c r="J113" i="27"/>
  <c r="H113" i="27"/>
  <c r="G113" i="27"/>
  <c r="F113" i="27"/>
  <c r="E113" i="27"/>
  <c r="D113" i="27"/>
  <c r="C113" i="27"/>
  <c r="K103" i="27"/>
  <c r="J103" i="27"/>
  <c r="H103" i="27"/>
  <c r="G103" i="27"/>
  <c r="F103" i="27"/>
  <c r="E103" i="27"/>
  <c r="D103" i="27"/>
  <c r="C103" i="27"/>
  <c r="K88" i="27"/>
  <c r="J88" i="27"/>
  <c r="H88" i="27"/>
  <c r="G88" i="27"/>
  <c r="F88" i="27"/>
  <c r="E88" i="27"/>
  <c r="D88" i="27"/>
  <c r="C88" i="27"/>
  <c r="K69" i="27"/>
  <c r="J69" i="27"/>
  <c r="H69" i="27"/>
  <c r="G69" i="27"/>
  <c r="F69" i="27"/>
  <c r="E69" i="27"/>
  <c r="D69" i="27"/>
  <c r="C69" i="27"/>
  <c r="K43" i="27"/>
  <c r="J43" i="27"/>
  <c r="H43" i="27"/>
  <c r="G43" i="27"/>
  <c r="F43" i="27"/>
  <c r="E43" i="27"/>
  <c r="D43" i="27"/>
  <c r="C43" i="27"/>
  <c r="L108" i="27"/>
  <c r="L109" i="27"/>
  <c r="L93" i="27"/>
  <c r="L94" i="27"/>
  <c r="L95" i="27"/>
  <c r="L96" i="27"/>
  <c r="L97" i="27"/>
  <c r="L98" i="27"/>
  <c r="L99" i="27"/>
  <c r="L74" i="27"/>
  <c r="L75" i="27"/>
  <c r="L76" i="27"/>
  <c r="L77" i="27"/>
  <c r="L78" i="27"/>
  <c r="L79" i="27"/>
  <c r="L80" i="27"/>
  <c r="L81" i="27"/>
  <c r="L82" i="27"/>
  <c r="L83" i="27"/>
  <c r="L84" i="27"/>
  <c r="L48" i="27"/>
  <c r="L49" i="27"/>
  <c r="L50" i="27"/>
  <c r="L51" i="27"/>
  <c r="L52" i="27"/>
  <c r="L53" i="27"/>
  <c r="L54" i="27"/>
  <c r="L55" i="27"/>
  <c r="L56" i="27"/>
  <c r="L57" i="27"/>
  <c r="L58" i="27"/>
  <c r="L59" i="27"/>
  <c r="L60" i="27"/>
  <c r="L61" i="27"/>
  <c r="L62" i="27"/>
  <c r="L63" i="27"/>
  <c r="L64" i="27"/>
  <c r="L65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33" i="27"/>
  <c r="L34" i="27"/>
  <c r="L35" i="27"/>
  <c r="L36" i="27"/>
  <c r="L37" i="27"/>
  <c r="L38" i="27"/>
  <c r="L39" i="27"/>
  <c r="L107" i="27"/>
  <c r="L92" i="27"/>
  <c r="L73" i="27"/>
  <c r="L47" i="27"/>
  <c r="L13" i="27"/>
  <c r="K86" i="22"/>
  <c r="J86" i="22"/>
  <c r="H86" i="22"/>
  <c r="G86" i="22"/>
  <c r="F86" i="22"/>
  <c r="E86" i="22"/>
  <c r="D86" i="22"/>
  <c r="C86" i="22"/>
  <c r="K76" i="22"/>
  <c r="J76" i="22"/>
  <c r="H76" i="22"/>
  <c r="G76" i="22"/>
  <c r="F76" i="22"/>
  <c r="E76" i="22"/>
  <c r="D76" i="22"/>
  <c r="C76" i="22"/>
  <c r="K66" i="22"/>
  <c r="J66" i="22"/>
  <c r="H66" i="22"/>
  <c r="G66" i="22"/>
  <c r="F66" i="22"/>
  <c r="E66" i="22"/>
  <c r="D66" i="22"/>
  <c r="C66" i="22"/>
  <c r="K54" i="22"/>
  <c r="J54" i="22"/>
  <c r="H54" i="22"/>
  <c r="G54" i="22"/>
  <c r="F54" i="22"/>
  <c r="E54" i="22"/>
  <c r="D54" i="22"/>
  <c r="C54" i="22"/>
  <c r="K37" i="22"/>
  <c r="K90" i="22" s="1"/>
  <c r="J37" i="22"/>
  <c r="H37" i="22"/>
  <c r="G37" i="22"/>
  <c r="F37" i="22"/>
  <c r="E37" i="22"/>
  <c r="D37" i="22"/>
  <c r="C37" i="22"/>
  <c r="L81" i="22"/>
  <c r="L82" i="22"/>
  <c r="L71" i="22"/>
  <c r="L72" i="22"/>
  <c r="L59" i="22"/>
  <c r="L60" i="22"/>
  <c r="L61" i="22"/>
  <c r="L62" i="22"/>
  <c r="L42" i="22"/>
  <c r="L43" i="22"/>
  <c r="L44" i="22"/>
  <c r="L45" i="22"/>
  <c r="L46" i="22"/>
  <c r="L47" i="22"/>
  <c r="L48" i="22"/>
  <c r="L49" i="22"/>
  <c r="L50" i="22"/>
  <c r="L14" i="22"/>
  <c r="L15" i="22"/>
  <c r="L16" i="22"/>
  <c r="L17" i="22"/>
  <c r="L18" i="22"/>
  <c r="L19" i="22"/>
  <c r="L20" i="22"/>
  <c r="L21" i="22"/>
  <c r="L22" i="22"/>
  <c r="L24" i="22"/>
  <c r="L25" i="22"/>
  <c r="L26" i="22"/>
  <c r="L27" i="22"/>
  <c r="L28" i="22"/>
  <c r="L29" i="22"/>
  <c r="L30" i="22"/>
  <c r="L31" i="22"/>
  <c r="L32" i="22"/>
  <c r="L33" i="22"/>
  <c r="L80" i="22"/>
  <c r="L70" i="22"/>
  <c r="L58" i="22"/>
  <c r="L41" i="22"/>
  <c r="L13" i="22"/>
  <c r="L37" i="21"/>
  <c r="L38" i="21"/>
  <c r="L39" i="21"/>
  <c r="L27" i="21"/>
  <c r="L28" i="21"/>
  <c r="L14" i="21"/>
  <c r="L15" i="21"/>
  <c r="L16" i="21"/>
  <c r="L17" i="21"/>
  <c r="L18" i="21"/>
  <c r="L36" i="21"/>
  <c r="L26" i="21"/>
  <c r="L32" i="21" s="1"/>
  <c r="L13" i="21"/>
  <c r="K43" i="21"/>
  <c r="J43" i="21"/>
  <c r="H43" i="21"/>
  <c r="G43" i="21"/>
  <c r="F43" i="21"/>
  <c r="E43" i="21"/>
  <c r="D43" i="21"/>
  <c r="C43" i="21"/>
  <c r="K32" i="21"/>
  <c r="J32" i="21"/>
  <c r="H32" i="21"/>
  <c r="G32" i="21"/>
  <c r="F32" i="21"/>
  <c r="F47" i="21" s="1"/>
  <c r="E32" i="21"/>
  <c r="E47" i="21" s="1"/>
  <c r="D32" i="21"/>
  <c r="D47" i="21" s="1"/>
  <c r="C32" i="21"/>
  <c r="C47" i="21" s="1"/>
  <c r="K22" i="21"/>
  <c r="J22" i="21"/>
  <c r="H22" i="21"/>
  <c r="G22" i="21"/>
  <c r="F22" i="21"/>
  <c r="E22" i="21"/>
  <c r="D22" i="21"/>
  <c r="C22" i="21"/>
  <c r="K92" i="20"/>
  <c r="J92" i="20"/>
  <c r="H92" i="20"/>
  <c r="G92" i="20"/>
  <c r="F92" i="20"/>
  <c r="E92" i="20"/>
  <c r="D92" i="20"/>
  <c r="C92" i="20"/>
  <c r="K83" i="20"/>
  <c r="J83" i="20"/>
  <c r="H83" i="20"/>
  <c r="G83" i="20"/>
  <c r="F83" i="20"/>
  <c r="E83" i="20"/>
  <c r="D83" i="20"/>
  <c r="C83" i="20"/>
  <c r="K73" i="20"/>
  <c r="J73" i="20"/>
  <c r="H73" i="20"/>
  <c r="G73" i="20"/>
  <c r="F73" i="20"/>
  <c r="E73" i="20"/>
  <c r="D73" i="20"/>
  <c r="C73" i="20"/>
  <c r="K61" i="20"/>
  <c r="J61" i="20"/>
  <c r="H61" i="20"/>
  <c r="G61" i="20"/>
  <c r="F61" i="20"/>
  <c r="E61" i="20"/>
  <c r="D61" i="20"/>
  <c r="C61" i="20"/>
  <c r="K34" i="20"/>
  <c r="J34" i="20"/>
  <c r="H34" i="20"/>
  <c r="G34" i="20"/>
  <c r="F34" i="20"/>
  <c r="F96" i="20" s="1"/>
  <c r="E34" i="20"/>
  <c r="E96" i="20" s="1"/>
  <c r="D34" i="20"/>
  <c r="C34" i="20"/>
  <c r="C96" i="20" s="1"/>
  <c r="L88" i="20"/>
  <c r="L78" i="20"/>
  <c r="L79" i="20"/>
  <c r="L66" i="20"/>
  <c r="L67" i="20"/>
  <c r="L68" i="20"/>
  <c r="L69" i="20"/>
  <c r="L39" i="20"/>
  <c r="L40" i="20"/>
  <c r="L41" i="20"/>
  <c r="L42" i="20"/>
  <c r="L43" i="20"/>
  <c r="L44" i="20"/>
  <c r="L49" i="20"/>
  <c r="L50" i="20"/>
  <c r="L51" i="20"/>
  <c r="L52" i="20"/>
  <c r="L53" i="20"/>
  <c r="L54" i="20"/>
  <c r="L55" i="20"/>
  <c r="L56" i="20"/>
  <c r="L57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87" i="20"/>
  <c r="L77" i="20"/>
  <c r="L65" i="20"/>
  <c r="L38" i="20"/>
  <c r="L13" i="20"/>
  <c r="K69" i="19"/>
  <c r="J69" i="19"/>
  <c r="H69" i="19"/>
  <c r="G69" i="19"/>
  <c r="F69" i="19"/>
  <c r="E69" i="19"/>
  <c r="D69" i="19"/>
  <c r="C69" i="19"/>
  <c r="K55" i="19"/>
  <c r="J55" i="19"/>
  <c r="H55" i="19"/>
  <c r="G55" i="19"/>
  <c r="F55" i="19"/>
  <c r="E55" i="19"/>
  <c r="D55" i="19"/>
  <c r="C55" i="19"/>
  <c r="K46" i="19"/>
  <c r="J46" i="19"/>
  <c r="H46" i="19"/>
  <c r="G46" i="19"/>
  <c r="F46" i="19"/>
  <c r="E46" i="19"/>
  <c r="D46" i="19"/>
  <c r="C46" i="19"/>
  <c r="K34" i="19"/>
  <c r="K73" i="19" s="1"/>
  <c r="J34" i="19"/>
  <c r="H34" i="19"/>
  <c r="G34" i="19"/>
  <c r="G73" i="19" s="1"/>
  <c r="F34" i="19"/>
  <c r="F73" i="19" s="1"/>
  <c r="E34" i="19"/>
  <c r="E73" i="19" s="1"/>
  <c r="D34" i="19"/>
  <c r="D73" i="19" s="1"/>
  <c r="C34" i="19"/>
  <c r="C73" i="19" s="1"/>
  <c r="L61" i="19"/>
  <c r="L62" i="19"/>
  <c r="L63" i="19"/>
  <c r="L64" i="19"/>
  <c r="L65" i="19"/>
  <c r="L51" i="19"/>
  <c r="L39" i="19"/>
  <c r="L40" i="19"/>
  <c r="L41" i="19"/>
  <c r="L42" i="19"/>
  <c r="L14" i="19"/>
  <c r="L15" i="19"/>
  <c r="L16" i="19"/>
  <c r="L17" i="19"/>
  <c r="L18" i="19"/>
  <c r="L19" i="19"/>
  <c r="L20" i="19"/>
  <c r="L21" i="19"/>
  <c r="L22" i="19"/>
  <c r="L23" i="19"/>
  <c r="L27" i="19"/>
  <c r="L28" i="19"/>
  <c r="L29" i="19"/>
  <c r="L30" i="19"/>
  <c r="L59" i="19"/>
  <c r="L50" i="19"/>
  <c r="L55" i="19" s="1"/>
  <c r="L38" i="19"/>
  <c r="L13" i="19"/>
  <c r="K111" i="18"/>
  <c r="J111" i="18"/>
  <c r="H111" i="18"/>
  <c r="G111" i="18"/>
  <c r="F111" i="18"/>
  <c r="E111" i="18"/>
  <c r="D111" i="18"/>
  <c r="C111" i="18"/>
  <c r="K92" i="18"/>
  <c r="J92" i="18"/>
  <c r="H92" i="18"/>
  <c r="G92" i="18"/>
  <c r="F92" i="18"/>
  <c r="E92" i="18"/>
  <c r="D92" i="18"/>
  <c r="C92" i="18"/>
  <c r="K81" i="18"/>
  <c r="J81" i="18"/>
  <c r="H81" i="18"/>
  <c r="G81" i="18"/>
  <c r="F81" i="18"/>
  <c r="E81" i="18"/>
  <c r="D81" i="18"/>
  <c r="C81" i="18"/>
  <c r="K67" i="18"/>
  <c r="J67" i="18"/>
  <c r="H67" i="18"/>
  <c r="G67" i="18"/>
  <c r="F67" i="18"/>
  <c r="E67" i="18"/>
  <c r="D67" i="18"/>
  <c r="C67" i="18"/>
  <c r="K42" i="18"/>
  <c r="J42" i="18"/>
  <c r="G42" i="18"/>
  <c r="F42" i="18"/>
  <c r="E42" i="18"/>
  <c r="D42" i="18"/>
  <c r="C42" i="18"/>
  <c r="L99" i="18"/>
  <c r="L100" i="18"/>
  <c r="L101" i="18"/>
  <c r="L103" i="18"/>
  <c r="L104" i="18"/>
  <c r="L105" i="18"/>
  <c r="L106" i="18"/>
  <c r="L107" i="18"/>
  <c r="L86" i="18"/>
  <c r="L87" i="18"/>
  <c r="L88" i="18"/>
  <c r="L72" i="18"/>
  <c r="L73" i="18"/>
  <c r="L74" i="18"/>
  <c r="L75" i="18"/>
  <c r="L76" i="18"/>
  <c r="L77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96" i="18"/>
  <c r="L85" i="18"/>
  <c r="L71" i="18"/>
  <c r="L46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13" i="18"/>
  <c r="K45" i="17"/>
  <c r="J45" i="17"/>
  <c r="H45" i="17"/>
  <c r="G45" i="17"/>
  <c r="F45" i="17"/>
  <c r="E45" i="17"/>
  <c r="D45" i="17"/>
  <c r="C45" i="17"/>
  <c r="K33" i="17"/>
  <c r="J33" i="17"/>
  <c r="H33" i="17"/>
  <c r="G33" i="17"/>
  <c r="F33" i="17"/>
  <c r="E33" i="17"/>
  <c r="D33" i="17"/>
  <c r="C33" i="17"/>
  <c r="K23" i="17"/>
  <c r="J23" i="17"/>
  <c r="H23" i="17"/>
  <c r="G23" i="17"/>
  <c r="G49" i="17" s="1"/>
  <c r="F23" i="17"/>
  <c r="E23" i="17"/>
  <c r="E49" i="17" s="1"/>
  <c r="D23" i="17"/>
  <c r="D49" i="17" s="1"/>
  <c r="C23" i="17"/>
  <c r="C49" i="17" s="1"/>
  <c r="L41" i="17"/>
  <c r="L38" i="17"/>
  <c r="L37" i="17"/>
  <c r="L29" i="17"/>
  <c r="L28" i="17"/>
  <c r="L27" i="17"/>
  <c r="L19" i="17"/>
  <c r="L18" i="17"/>
  <c r="L17" i="17"/>
  <c r="L16" i="17"/>
  <c r="L15" i="17"/>
  <c r="L14" i="17"/>
  <c r="L13" i="17"/>
  <c r="K61" i="16"/>
  <c r="J61" i="16"/>
  <c r="H61" i="16"/>
  <c r="G61" i="16"/>
  <c r="F61" i="16"/>
  <c r="E61" i="16"/>
  <c r="D61" i="16"/>
  <c r="C61" i="16"/>
  <c r="K51" i="16"/>
  <c r="J51" i="16"/>
  <c r="H51" i="16"/>
  <c r="G51" i="16"/>
  <c r="F51" i="16"/>
  <c r="E51" i="16"/>
  <c r="D51" i="16"/>
  <c r="C51" i="16"/>
  <c r="K35" i="16"/>
  <c r="J35" i="16"/>
  <c r="H35" i="16"/>
  <c r="G35" i="16"/>
  <c r="F35" i="16"/>
  <c r="E35" i="16"/>
  <c r="D35" i="16"/>
  <c r="C35" i="16"/>
  <c r="K24" i="16"/>
  <c r="K65" i="16" s="1"/>
  <c r="J24" i="16"/>
  <c r="H24" i="16"/>
  <c r="G24" i="16"/>
  <c r="G65" i="16" s="1"/>
  <c r="F24" i="16"/>
  <c r="E24" i="16"/>
  <c r="E65" i="16" s="1"/>
  <c r="D24" i="16"/>
  <c r="D65" i="16" s="1"/>
  <c r="C24" i="16"/>
  <c r="C65" i="16" s="1"/>
  <c r="L56" i="16"/>
  <c r="L57" i="16"/>
  <c r="L40" i="16"/>
  <c r="L46" i="16"/>
  <c r="L29" i="16"/>
  <c r="L30" i="16"/>
  <c r="L31" i="16"/>
  <c r="L14" i="16"/>
  <c r="L15" i="16"/>
  <c r="L16" i="16"/>
  <c r="L17" i="16"/>
  <c r="L18" i="16"/>
  <c r="L19" i="16"/>
  <c r="L20" i="16"/>
  <c r="L55" i="16"/>
  <c r="L39" i="16"/>
  <c r="L28" i="16"/>
  <c r="L13" i="16"/>
  <c r="K125" i="15"/>
  <c r="J125" i="15"/>
  <c r="H125" i="15"/>
  <c r="G125" i="15"/>
  <c r="F125" i="15"/>
  <c r="E125" i="15"/>
  <c r="D125" i="15"/>
  <c r="C125" i="15"/>
  <c r="H113" i="15"/>
  <c r="G113" i="15"/>
  <c r="F113" i="15"/>
  <c r="E113" i="15"/>
  <c r="D113" i="15"/>
  <c r="C113" i="15"/>
  <c r="H94" i="15"/>
  <c r="G94" i="15"/>
  <c r="F94" i="15"/>
  <c r="E94" i="15"/>
  <c r="D94" i="15"/>
  <c r="C94" i="15"/>
  <c r="H68" i="15"/>
  <c r="G68" i="15"/>
  <c r="F68" i="15"/>
  <c r="E68" i="15"/>
  <c r="D68" i="15"/>
  <c r="C68" i="15"/>
  <c r="K38" i="15"/>
  <c r="K129" i="15" s="1"/>
  <c r="J38" i="15"/>
  <c r="J129" i="15" s="1"/>
  <c r="H38" i="15"/>
  <c r="G38" i="15"/>
  <c r="F38" i="15"/>
  <c r="F129" i="15" s="1"/>
  <c r="E38" i="15"/>
  <c r="E129" i="15" s="1"/>
  <c r="D38" i="15"/>
  <c r="C38" i="15"/>
  <c r="L118" i="15"/>
  <c r="L119" i="15"/>
  <c r="L120" i="15"/>
  <c r="L121" i="15"/>
  <c r="L99" i="15"/>
  <c r="L100" i="15"/>
  <c r="L101" i="15"/>
  <c r="L102" i="15"/>
  <c r="L103" i="15"/>
  <c r="L104" i="15"/>
  <c r="L113" i="15" s="1"/>
  <c r="L105" i="15"/>
  <c r="L106" i="15"/>
  <c r="L107" i="15"/>
  <c r="L108" i="15"/>
  <c r="L109" i="15"/>
  <c r="L73" i="15"/>
  <c r="L74" i="15"/>
  <c r="L83" i="15"/>
  <c r="L84" i="15"/>
  <c r="L85" i="15"/>
  <c r="L86" i="15"/>
  <c r="L89" i="15"/>
  <c r="L94" i="15" s="1"/>
  <c r="L90" i="15"/>
  <c r="L43" i="15"/>
  <c r="L44" i="15"/>
  <c r="L45" i="15"/>
  <c r="L46" i="15"/>
  <c r="L49" i="15"/>
  <c r="L50" i="15"/>
  <c r="L51" i="15"/>
  <c r="L52" i="15"/>
  <c r="L53" i="15"/>
  <c r="L54" i="15"/>
  <c r="L56" i="15"/>
  <c r="L57" i="15"/>
  <c r="L58" i="15"/>
  <c r="L59" i="15"/>
  <c r="L60" i="15"/>
  <c r="L61" i="15"/>
  <c r="L62" i="15"/>
  <c r="L63" i="15"/>
  <c r="L64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13" i="15"/>
  <c r="L117" i="15"/>
  <c r="L125" i="15" s="1"/>
  <c r="L98" i="15"/>
  <c r="L72" i="15"/>
  <c r="L42" i="15"/>
  <c r="K90" i="14"/>
  <c r="J90" i="14"/>
  <c r="H90" i="14"/>
  <c r="G90" i="14"/>
  <c r="F90" i="14"/>
  <c r="E90" i="14"/>
  <c r="D90" i="14"/>
  <c r="C90" i="14"/>
  <c r="K79" i="14"/>
  <c r="J79" i="14"/>
  <c r="H79" i="14"/>
  <c r="G79" i="14"/>
  <c r="F79" i="14"/>
  <c r="E79" i="14"/>
  <c r="D79" i="14"/>
  <c r="C79" i="14"/>
  <c r="K68" i="14"/>
  <c r="J68" i="14"/>
  <c r="H68" i="14"/>
  <c r="G68" i="14"/>
  <c r="F68" i="14"/>
  <c r="E68" i="14"/>
  <c r="D68" i="14"/>
  <c r="C68" i="14"/>
  <c r="K56" i="14"/>
  <c r="J56" i="14"/>
  <c r="H56" i="14"/>
  <c r="G56" i="14"/>
  <c r="F56" i="14"/>
  <c r="E56" i="14"/>
  <c r="D56" i="14"/>
  <c r="C56" i="14"/>
  <c r="K39" i="14"/>
  <c r="K94" i="14" s="1"/>
  <c r="J39" i="14"/>
  <c r="H39" i="14"/>
  <c r="G39" i="14"/>
  <c r="F39" i="14"/>
  <c r="F94" i="14" s="1"/>
  <c r="E39" i="14"/>
  <c r="D39" i="14"/>
  <c r="D94" i="14" s="1"/>
  <c r="C39" i="14"/>
  <c r="C94" i="14" s="1"/>
  <c r="L84" i="14"/>
  <c r="L86" i="14"/>
  <c r="L73" i="14"/>
  <c r="L74" i="14"/>
  <c r="L61" i="14"/>
  <c r="L63" i="14"/>
  <c r="L64" i="14"/>
  <c r="L44" i="14"/>
  <c r="L46" i="14"/>
  <c r="L48" i="14"/>
  <c r="L49" i="14"/>
  <c r="L50" i="14"/>
  <c r="L52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83" i="14"/>
  <c r="L72" i="14"/>
  <c r="L60" i="14"/>
  <c r="L43" i="14"/>
  <c r="L13" i="14"/>
  <c r="K95" i="13"/>
  <c r="J95" i="13"/>
  <c r="H95" i="13"/>
  <c r="G95" i="13"/>
  <c r="F95" i="13"/>
  <c r="E95" i="13"/>
  <c r="D95" i="13"/>
  <c r="C95" i="13"/>
  <c r="K85" i="13"/>
  <c r="J85" i="13"/>
  <c r="H85" i="13"/>
  <c r="G85" i="13"/>
  <c r="F85" i="13"/>
  <c r="E85" i="13"/>
  <c r="D85" i="13"/>
  <c r="C85" i="13"/>
  <c r="K73" i="13"/>
  <c r="J73" i="13"/>
  <c r="H73" i="13"/>
  <c r="G73" i="13"/>
  <c r="F73" i="13"/>
  <c r="E73" i="13"/>
  <c r="D73" i="13"/>
  <c r="C73" i="13"/>
  <c r="K62" i="13"/>
  <c r="J62" i="13"/>
  <c r="H62" i="13"/>
  <c r="G62" i="13"/>
  <c r="F62" i="13"/>
  <c r="E62" i="13"/>
  <c r="D62" i="13"/>
  <c r="C62" i="13"/>
  <c r="K34" i="13"/>
  <c r="J34" i="13"/>
  <c r="H34" i="13"/>
  <c r="G34" i="13"/>
  <c r="F34" i="13"/>
  <c r="E34" i="13"/>
  <c r="E99" i="13" s="1"/>
  <c r="D34" i="13"/>
  <c r="C34" i="13"/>
  <c r="C99" i="13" s="1"/>
  <c r="L90" i="13"/>
  <c r="L91" i="13"/>
  <c r="L78" i="13"/>
  <c r="L80" i="13"/>
  <c r="L81" i="13"/>
  <c r="L67" i="13"/>
  <c r="L69" i="13"/>
  <c r="L89" i="13"/>
  <c r="L77" i="13"/>
  <c r="L66" i="13"/>
  <c r="L38" i="13"/>
  <c r="L62" i="13" s="1"/>
  <c r="K166" i="12"/>
  <c r="J166" i="12"/>
  <c r="H166" i="12"/>
  <c r="G166" i="12"/>
  <c r="F166" i="12"/>
  <c r="E166" i="12"/>
  <c r="D166" i="12"/>
  <c r="C166" i="12"/>
  <c r="K151" i="12"/>
  <c r="J151" i="12"/>
  <c r="H151" i="12"/>
  <c r="G151" i="12"/>
  <c r="F151" i="12"/>
  <c r="E151" i="12"/>
  <c r="D151" i="12"/>
  <c r="C151" i="12"/>
  <c r="K127" i="12"/>
  <c r="J127" i="12"/>
  <c r="G127" i="12"/>
  <c r="F127" i="12"/>
  <c r="E127" i="12"/>
  <c r="D127" i="12"/>
  <c r="C127" i="12"/>
  <c r="K103" i="12"/>
  <c r="J103" i="12"/>
  <c r="H103" i="12"/>
  <c r="G103" i="12"/>
  <c r="F103" i="12"/>
  <c r="E103" i="12"/>
  <c r="D103" i="12"/>
  <c r="C103" i="12"/>
  <c r="K48" i="12"/>
  <c r="J48" i="12"/>
  <c r="H48" i="12"/>
  <c r="G48" i="12"/>
  <c r="F48" i="12"/>
  <c r="E48" i="12"/>
  <c r="D48" i="12"/>
  <c r="C48" i="12"/>
  <c r="L156" i="12"/>
  <c r="L157" i="12"/>
  <c r="L158" i="12"/>
  <c r="L159" i="12"/>
  <c r="L160" i="12"/>
  <c r="L135" i="12"/>
  <c r="L136" i="12"/>
  <c r="L137" i="12"/>
  <c r="L139" i="12"/>
  <c r="L145" i="12"/>
  <c r="L147" i="12"/>
  <c r="L108" i="12"/>
  <c r="L109" i="12"/>
  <c r="L117" i="12"/>
  <c r="L120" i="12"/>
  <c r="L121" i="12"/>
  <c r="L122" i="12"/>
  <c r="L123" i="12"/>
  <c r="L53" i="12"/>
  <c r="L54" i="12"/>
  <c r="L56" i="12"/>
  <c r="L60" i="12"/>
  <c r="L62" i="12"/>
  <c r="L63" i="12"/>
  <c r="L64" i="12"/>
  <c r="L69" i="12"/>
  <c r="L70" i="12"/>
  <c r="L71" i="12"/>
  <c r="L72" i="12"/>
  <c r="L77" i="12"/>
  <c r="L78" i="12"/>
  <c r="L79" i="12"/>
  <c r="L80" i="12"/>
  <c r="L84" i="12"/>
  <c r="L89" i="12"/>
  <c r="L90" i="12"/>
  <c r="L91" i="12"/>
  <c r="L92" i="12"/>
  <c r="L94" i="12"/>
  <c r="L95" i="12"/>
  <c r="L97" i="12"/>
  <c r="L155" i="12"/>
  <c r="L131" i="12"/>
  <c r="L107" i="12"/>
  <c r="L52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2" i="12"/>
  <c r="L34" i="12"/>
  <c r="L35" i="12"/>
  <c r="L36" i="12"/>
  <c r="L37" i="12"/>
  <c r="L38" i="12"/>
  <c r="L39" i="12"/>
  <c r="L40" i="12"/>
  <c r="L41" i="12"/>
  <c r="L42" i="12"/>
  <c r="L43" i="12"/>
  <c r="L44" i="12"/>
  <c r="L13" i="12"/>
  <c r="F95" i="11"/>
  <c r="E95" i="11"/>
  <c r="D95" i="11"/>
  <c r="C95" i="11"/>
  <c r="K91" i="11"/>
  <c r="J91" i="11"/>
  <c r="H91" i="11"/>
  <c r="G91" i="11"/>
  <c r="F91" i="11"/>
  <c r="E91" i="11"/>
  <c r="D91" i="11"/>
  <c r="C91" i="11"/>
  <c r="K82" i="11"/>
  <c r="J82" i="11"/>
  <c r="H82" i="11"/>
  <c r="H95" i="11" s="1"/>
  <c r="G30" i="47" s="1"/>
  <c r="G82" i="11"/>
  <c r="G95" i="11" s="1"/>
  <c r="F82" i="11"/>
  <c r="E82" i="11"/>
  <c r="D82" i="11"/>
  <c r="C82" i="11"/>
  <c r="K68" i="11"/>
  <c r="J68" i="11"/>
  <c r="H68" i="11"/>
  <c r="G68" i="11"/>
  <c r="F68" i="11"/>
  <c r="E68" i="11"/>
  <c r="D68" i="11"/>
  <c r="C68" i="11"/>
  <c r="K56" i="11"/>
  <c r="J56" i="11"/>
  <c r="H56" i="11"/>
  <c r="G56" i="11"/>
  <c r="F56" i="11"/>
  <c r="E56" i="11"/>
  <c r="D56" i="11"/>
  <c r="C56" i="11"/>
  <c r="K35" i="11"/>
  <c r="J35" i="11"/>
  <c r="H35" i="11"/>
  <c r="G35" i="11"/>
  <c r="F35" i="11"/>
  <c r="E35" i="11"/>
  <c r="D35" i="11"/>
  <c r="C35" i="11"/>
  <c r="L87" i="11"/>
  <c r="L73" i="11"/>
  <c r="L74" i="11"/>
  <c r="L75" i="11"/>
  <c r="L76" i="11"/>
  <c r="L77" i="11"/>
  <c r="L78" i="11"/>
  <c r="L61" i="11"/>
  <c r="L62" i="11"/>
  <c r="L63" i="11"/>
  <c r="L64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86" i="11"/>
  <c r="L72" i="11"/>
  <c r="L60" i="11"/>
  <c r="L39" i="11"/>
  <c r="L13" i="11"/>
  <c r="K108" i="10"/>
  <c r="J108" i="10"/>
  <c r="H108" i="10"/>
  <c r="G108" i="10"/>
  <c r="F108" i="10"/>
  <c r="E108" i="10"/>
  <c r="D108" i="10"/>
  <c r="C108" i="10"/>
  <c r="K100" i="10"/>
  <c r="J100" i="10"/>
  <c r="H100" i="10"/>
  <c r="G100" i="10"/>
  <c r="F100" i="10"/>
  <c r="E100" i="10"/>
  <c r="D100" i="10"/>
  <c r="C100" i="10"/>
  <c r="K85" i="10"/>
  <c r="J85" i="10"/>
  <c r="H85" i="10"/>
  <c r="G85" i="10"/>
  <c r="F85" i="10"/>
  <c r="E85" i="10"/>
  <c r="D85" i="10"/>
  <c r="C85" i="10"/>
  <c r="K73" i="10"/>
  <c r="J73" i="10"/>
  <c r="H73" i="10"/>
  <c r="G73" i="10"/>
  <c r="F73" i="10"/>
  <c r="E73" i="10"/>
  <c r="D73" i="10"/>
  <c r="C73" i="10"/>
  <c r="K35" i="10"/>
  <c r="J35" i="10"/>
  <c r="H35" i="10"/>
  <c r="G35" i="10"/>
  <c r="F35" i="10"/>
  <c r="F112" i="10" s="1"/>
  <c r="E35" i="10"/>
  <c r="E112" i="10" s="1"/>
  <c r="D35" i="10"/>
  <c r="D112" i="10" s="1"/>
  <c r="C35" i="10"/>
  <c r="C112" i="10" s="1"/>
  <c r="L93" i="10"/>
  <c r="L94" i="10"/>
  <c r="L95" i="10"/>
  <c r="L96" i="10"/>
  <c r="L78" i="10"/>
  <c r="L79" i="10"/>
  <c r="L80" i="10"/>
  <c r="L81" i="10"/>
  <c r="L40" i="10"/>
  <c r="L41" i="10"/>
  <c r="L42" i="10"/>
  <c r="L49" i="10"/>
  <c r="L50" i="10"/>
  <c r="L51" i="10"/>
  <c r="L59" i="10"/>
  <c r="L60" i="10"/>
  <c r="L61" i="10"/>
  <c r="L62" i="10"/>
  <c r="L63" i="10"/>
  <c r="L64" i="10"/>
  <c r="L65" i="10"/>
  <c r="L66" i="10"/>
  <c r="L67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104" i="10"/>
  <c r="L108" i="10" s="1"/>
  <c r="L89" i="10"/>
  <c r="L77" i="10"/>
  <c r="L39" i="10"/>
  <c r="L13" i="10"/>
  <c r="K73" i="9"/>
  <c r="J73" i="9"/>
  <c r="H73" i="9"/>
  <c r="G73" i="9"/>
  <c r="F73" i="9"/>
  <c r="E73" i="9"/>
  <c r="D73" i="9"/>
  <c r="C73" i="9"/>
  <c r="K61" i="9"/>
  <c r="J61" i="9"/>
  <c r="H61" i="9"/>
  <c r="G61" i="9"/>
  <c r="F61" i="9"/>
  <c r="E61" i="9"/>
  <c r="D61" i="9"/>
  <c r="C61" i="9"/>
  <c r="K49" i="9"/>
  <c r="J49" i="9"/>
  <c r="H49" i="9"/>
  <c r="G49" i="9"/>
  <c r="F49" i="9"/>
  <c r="E49" i="9"/>
  <c r="D49" i="9"/>
  <c r="C49" i="9"/>
  <c r="K31" i="9"/>
  <c r="H31" i="9"/>
  <c r="G31" i="9"/>
  <c r="F31" i="9"/>
  <c r="E31" i="9"/>
  <c r="D31" i="9"/>
  <c r="D77" i="9" s="1"/>
  <c r="C28" i="49" s="1"/>
  <c r="C31" i="9"/>
  <c r="C77" i="9" s="1"/>
  <c r="B28" i="49" s="1"/>
  <c r="L66" i="9"/>
  <c r="L67" i="9"/>
  <c r="L54" i="9"/>
  <c r="L55" i="9"/>
  <c r="L56" i="9"/>
  <c r="L57" i="9"/>
  <c r="L36" i="9"/>
  <c r="L38" i="9"/>
  <c r="L39" i="9"/>
  <c r="L40" i="9"/>
  <c r="L41" i="9"/>
  <c r="L42" i="9"/>
  <c r="L43" i="9"/>
  <c r="L44" i="9"/>
  <c r="L45" i="9"/>
  <c r="L65" i="9"/>
  <c r="L53" i="9"/>
  <c r="L35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13" i="9"/>
  <c r="F91" i="8"/>
  <c r="D91" i="8"/>
  <c r="C91" i="8"/>
  <c r="L87" i="8"/>
  <c r="K87" i="8"/>
  <c r="J87" i="8"/>
  <c r="H87" i="8"/>
  <c r="G87" i="8"/>
  <c r="F87" i="8"/>
  <c r="E87" i="8"/>
  <c r="D87" i="8"/>
  <c r="C87" i="8"/>
  <c r="L79" i="8"/>
  <c r="K79" i="8"/>
  <c r="J79" i="8"/>
  <c r="H79" i="8"/>
  <c r="G79" i="8"/>
  <c r="F79" i="8"/>
  <c r="E79" i="8"/>
  <c r="D79" i="8"/>
  <c r="C79" i="8"/>
  <c r="L66" i="8"/>
  <c r="K66" i="8"/>
  <c r="J66" i="8"/>
  <c r="H66" i="8"/>
  <c r="G66" i="8"/>
  <c r="F66" i="8"/>
  <c r="E66" i="8"/>
  <c r="E91" i="8" s="1"/>
  <c r="D66" i="8"/>
  <c r="C66" i="8"/>
  <c r="K54" i="8"/>
  <c r="J54" i="8"/>
  <c r="H54" i="8"/>
  <c r="G54" i="8"/>
  <c r="F54" i="8"/>
  <c r="E54" i="8"/>
  <c r="D54" i="8"/>
  <c r="C54" i="8"/>
  <c r="K32" i="8"/>
  <c r="G32" i="8"/>
  <c r="F32" i="8"/>
  <c r="E32" i="8"/>
  <c r="D32" i="8"/>
  <c r="C32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36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13" i="8"/>
  <c r="J42" i="50" l="1"/>
  <c r="J42" i="49"/>
  <c r="J192" i="50"/>
  <c r="J342" i="50"/>
  <c r="I184" i="50"/>
  <c r="I34" i="49"/>
  <c r="I34" i="50"/>
  <c r="I334" i="50"/>
  <c r="E65" i="49"/>
  <c r="E150" i="49" s="1"/>
  <c r="E65" i="48"/>
  <c r="E150" i="48" s="1"/>
  <c r="E365" i="50"/>
  <c r="E450" i="50" s="1"/>
  <c r="E215" i="50"/>
  <c r="E300" i="50" s="1"/>
  <c r="E150" i="50"/>
  <c r="E65" i="47"/>
  <c r="E150" i="47" s="1"/>
  <c r="B150" i="50"/>
  <c r="B65" i="49"/>
  <c r="B150" i="49" s="1"/>
  <c r="B365" i="50"/>
  <c r="B450" i="50" s="1"/>
  <c r="B65" i="48"/>
  <c r="B150" i="48" s="1"/>
  <c r="B215" i="50"/>
  <c r="B300" i="50" s="1"/>
  <c r="B65" i="47"/>
  <c r="B150" i="47" s="1"/>
  <c r="C150" i="50"/>
  <c r="C365" i="50"/>
  <c r="C450" i="50" s="1"/>
  <c r="C215" i="50"/>
  <c r="C300" i="50" s="1"/>
  <c r="C65" i="49"/>
  <c r="C150" i="49" s="1"/>
  <c r="C65" i="48"/>
  <c r="C150" i="48" s="1"/>
  <c r="C65" i="47"/>
  <c r="C150" i="47" s="1"/>
  <c r="D365" i="50"/>
  <c r="D450" i="50" s="1"/>
  <c r="D215" i="50"/>
  <c r="D300" i="50" s="1"/>
  <c r="D65" i="49"/>
  <c r="D150" i="49" s="1"/>
  <c r="D65" i="48"/>
  <c r="D150" i="48" s="1"/>
  <c r="D150" i="50"/>
  <c r="D65" i="47"/>
  <c r="D150" i="47" s="1"/>
  <c r="B213" i="50"/>
  <c r="B63" i="48"/>
  <c r="B63" i="49"/>
  <c r="B63" i="50"/>
  <c r="B363" i="50"/>
  <c r="B63" i="47"/>
  <c r="C140" i="25"/>
  <c r="E63" i="49"/>
  <c r="E63" i="48"/>
  <c r="E63" i="50"/>
  <c r="E363" i="50"/>
  <c r="E213" i="50"/>
  <c r="E63" i="47"/>
  <c r="F140" i="25"/>
  <c r="F63" i="50"/>
  <c r="F63" i="49"/>
  <c r="F213" i="50"/>
  <c r="F363" i="50"/>
  <c r="G63" i="47"/>
  <c r="G363" i="50"/>
  <c r="G63" i="48"/>
  <c r="G143" i="48" s="1"/>
  <c r="G63" i="50"/>
  <c r="G63" i="49"/>
  <c r="G213" i="50"/>
  <c r="I63" i="50"/>
  <c r="I363" i="50"/>
  <c r="I213" i="50"/>
  <c r="K343" i="50"/>
  <c r="K193" i="50"/>
  <c r="K64" i="50"/>
  <c r="K64" i="48"/>
  <c r="K364" i="50"/>
  <c r="K363" i="50" s="1"/>
  <c r="K64" i="47"/>
  <c r="K64" i="49"/>
  <c r="K214" i="50"/>
  <c r="C63" i="48"/>
  <c r="C363" i="50"/>
  <c r="C213" i="50"/>
  <c r="C63" i="49"/>
  <c r="C63" i="50"/>
  <c r="C63" i="47"/>
  <c r="D140" i="25"/>
  <c r="D63" i="49"/>
  <c r="D363" i="50"/>
  <c r="D213" i="50"/>
  <c r="D63" i="48"/>
  <c r="D63" i="50"/>
  <c r="D63" i="47"/>
  <c r="E140" i="25"/>
  <c r="J63" i="47"/>
  <c r="J63" i="50"/>
  <c r="J63" i="49"/>
  <c r="J63" i="48"/>
  <c r="J213" i="50"/>
  <c r="J363" i="50"/>
  <c r="K83" i="50"/>
  <c r="K45" i="50"/>
  <c r="I144" i="50"/>
  <c r="I80" i="50"/>
  <c r="I95" i="50"/>
  <c r="K43" i="47"/>
  <c r="K43" i="50"/>
  <c r="K105" i="37"/>
  <c r="C96" i="38"/>
  <c r="B120" i="49" s="1"/>
  <c r="D96" i="38"/>
  <c r="C120" i="49" s="1"/>
  <c r="E96" i="38"/>
  <c r="D120" i="49" s="1"/>
  <c r="D16" i="48"/>
  <c r="D142" i="48" s="1"/>
  <c r="D16" i="49"/>
  <c r="D16" i="47"/>
  <c r="D142" i="47" s="1"/>
  <c r="E16" i="48"/>
  <c r="E142" i="48" s="1"/>
  <c r="E16" i="49"/>
  <c r="E16" i="47"/>
  <c r="E142" i="47" s="1"/>
  <c r="B16" i="48"/>
  <c r="B16" i="49"/>
  <c r="B16" i="47"/>
  <c r="C16" i="49"/>
  <c r="C16" i="48"/>
  <c r="C142" i="48" s="1"/>
  <c r="C16" i="47"/>
  <c r="C142" i="47" s="1"/>
  <c r="K18" i="47"/>
  <c r="K18" i="48"/>
  <c r="K18" i="49"/>
  <c r="L186" i="2"/>
  <c r="I106" i="47"/>
  <c r="G78" i="48"/>
  <c r="G78" i="49"/>
  <c r="C151" i="49"/>
  <c r="C95" i="49"/>
  <c r="C99" i="49"/>
  <c r="E151" i="49"/>
  <c r="E99" i="49"/>
  <c r="E95" i="49"/>
  <c r="D151" i="49"/>
  <c r="D99" i="49"/>
  <c r="D95" i="49"/>
  <c r="B95" i="49"/>
  <c r="B99" i="49"/>
  <c r="B151" i="49"/>
  <c r="H96" i="38"/>
  <c r="G120" i="49" s="1"/>
  <c r="I192" i="49"/>
  <c r="K192" i="49" s="1"/>
  <c r="I196" i="49"/>
  <c r="D104" i="34"/>
  <c r="C114" i="49" s="1"/>
  <c r="C132" i="49" s="1"/>
  <c r="E104" i="34"/>
  <c r="D114" i="49" s="1"/>
  <c r="D132" i="49" s="1"/>
  <c r="C104" i="34"/>
  <c r="B114" i="49" s="1"/>
  <c r="B132" i="49" s="1"/>
  <c r="F104" i="34"/>
  <c r="E114" i="49" s="1"/>
  <c r="I63" i="47"/>
  <c r="I143" i="47" s="1"/>
  <c r="I63" i="49"/>
  <c r="I63" i="48"/>
  <c r="K83" i="49"/>
  <c r="K45" i="48"/>
  <c r="K83" i="48"/>
  <c r="K45" i="49"/>
  <c r="I78" i="48"/>
  <c r="I78" i="49"/>
  <c r="C125" i="48"/>
  <c r="C125" i="47"/>
  <c r="D125" i="48"/>
  <c r="D125" i="47"/>
  <c r="E125" i="48"/>
  <c r="E125" i="47"/>
  <c r="B125" i="48"/>
  <c r="B125" i="47"/>
  <c r="D121" i="48"/>
  <c r="D121" i="47"/>
  <c r="B121" i="48"/>
  <c r="B121" i="47"/>
  <c r="C121" i="48"/>
  <c r="C121" i="47"/>
  <c r="F97" i="39"/>
  <c r="E121" i="47" s="1"/>
  <c r="B120" i="48"/>
  <c r="B120" i="47"/>
  <c r="D120" i="48"/>
  <c r="D120" i="47"/>
  <c r="C120" i="48"/>
  <c r="C120" i="47"/>
  <c r="F96" i="38"/>
  <c r="E120" i="49" s="1"/>
  <c r="E119" i="47"/>
  <c r="E119" i="48"/>
  <c r="B119" i="47"/>
  <c r="B119" i="48"/>
  <c r="D119" i="47"/>
  <c r="D119" i="48"/>
  <c r="C118" i="48"/>
  <c r="C118" i="47"/>
  <c r="D118" i="48"/>
  <c r="D118" i="47"/>
  <c r="B118" i="48"/>
  <c r="B118" i="47"/>
  <c r="J97" i="36"/>
  <c r="F97" i="36"/>
  <c r="E118" i="48" s="1"/>
  <c r="E116" i="48"/>
  <c r="E116" i="47"/>
  <c r="B116" i="48"/>
  <c r="B116" i="47"/>
  <c r="C116" i="48"/>
  <c r="C116" i="47"/>
  <c r="D116" i="48"/>
  <c r="D116" i="47"/>
  <c r="E115" i="47"/>
  <c r="E115" i="48"/>
  <c r="B115" i="47"/>
  <c r="B115" i="48"/>
  <c r="C115" i="47"/>
  <c r="C115" i="48"/>
  <c r="D115" i="47"/>
  <c r="D115" i="48"/>
  <c r="E114" i="48"/>
  <c r="E114" i="47"/>
  <c r="C114" i="48"/>
  <c r="C114" i="47"/>
  <c r="D114" i="48"/>
  <c r="D114" i="47"/>
  <c r="D113" i="48"/>
  <c r="D113" i="47"/>
  <c r="E113" i="48"/>
  <c r="E113" i="47"/>
  <c r="C113" i="48"/>
  <c r="C113" i="47"/>
  <c r="B113" i="48"/>
  <c r="B113" i="47"/>
  <c r="I113" i="47"/>
  <c r="I113" i="48"/>
  <c r="E104" i="30"/>
  <c r="C104" i="30"/>
  <c r="B110" i="48" s="1"/>
  <c r="F104" i="30"/>
  <c r="E110" i="48" s="1"/>
  <c r="D104" i="30"/>
  <c r="C110" i="48" s="1"/>
  <c r="D110" i="48"/>
  <c r="D110" i="47"/>
  <c r="E110" i="47"/>
  <c r="B110" i="47"/>
  <c r="E88" i="48"/>
  <c r="E88" i="47"/>
  <c r="D88" i="48"/>
  <c r="D88" i="47"/>
  <c r="B88" i="48"/>
  <c r="B88" i="47"/>
  <c r="C88" i="48"/>
  <c r="C88" i="47"/>
  <c r="F117" i="27"/>
  <c r="D117" i="27"/>
  <c r="E117" i="27"/>
  <c r="C117" i="27"/>
  <c r="B87" i="48" s="1"/>
  <c r="C87" i="48"/>
  <c r="C87" i="47"/>
  <c r="D87" i="48"/>
  <c r="D93" i="48" s="1"/>
  <c r="D87" i="47"/>
  <c r="D93" i="47" s="1"/>
  <c r="E87" i="48"/>
  <c r="E93" i="48" s="1"/>
  <c r="E87" i="47"/>
  <c r="E93" i="47" s="1"/>
  <c r="B87" i="47"/>
  <c r="B93" i="47" s="1"/>
  <c r="E90" i="22"/>
  <c r="C90" i="22"/>
  <c r="F90" i="22"/>
  <c r="D90" i="22"/>
  <c r="D42" i="48"/>
  <c r="D42" i="47"/>
  <c r="E42" i="48"/>
  <c r="E42" i="47"/>
  <c r="B42" i="47"/>
  <c r="C42" i="47"/>
  <c r="J42" i="47"/>
  <c r="J42" i="48"/>
  <c r="D41" i="48"/>
  <c r="D41" i="47"/>
  <c r="E41" i="48"/>
  <c r="E41" i="47"/>
  <c r="B41" i="48"/>
  <c r="B41" i="47"/>
  <c r="C41" i="48"/>
  <c r="C41" i="47"/>
  <c r="D40" i="47"/>
  <c r="D40" i="48"/>
  <c r="E40" i="47"/>
  <c r="E40" i="48"/>
  <c r="B40" i="47"/>
  <c r="B40" i="48"/>
  <c r="E38" i="47"/>
  <c r="E38" i="48"/>
  <c r="J38" i="47"/>
  <c r="J38" i="48"/>
  <c r="B38" i="47"/>
  <c r="B38" i="48"/>
  <c r="C38" i="47"/>
  <c r="C38" i="48"/>
  <c r="D38" i="47"/>
  <c r="D38" i="48"/>
  <c r="C36" i="47"/>
  <c r="C36" i="48"/>
  <c r="B36" i="47"/>
  <c r="B36" i="48"/>
  <c r="D36" i="47"/>
  <c r="D36" i="48"/>
  <c r="C35" i="48"/>
  <c r="C35" i="47"/>
  <c r="D35" i="48"/>
  <c r="D35" i="47"/>
  <c r="B35" i="48"/>
  <c r="B35" i="47"/>
  <c r="J35" i="48"/>
  <c r="J35" i="47"/>
  <c r="J34" i="47"/>
  <c r="J34" i="48"/>
  <c r="D34" i="48"/>
  <c r="D34" i="47"/>
  <c r="I34" i="47"/>
  <c r="I34" i="48"/>
  <c r="E34" i="48"/>
  <c r="E34" i="47"/>
  <c r="D129" i="15"/>
  <c r="H129" i="15"/>
  <c r="G34" i="48" s="1"/>
  <c r="E33" i="48"/>
  <c r="E33" i="47"/>
  <c r="J33" i="48"/>
  <c r="J33" i="47"/>
  <c r="B33" i="48"/>
  <c r="B33" i="47"/>
  <c r="C33" i="48"/>
  <c r="C33" i="47"/>
  <c r="C170" i="12"/>
  <c r="B31" i="49" s="1"/>
  <c r="B31" i="48"/>
  <c r="C29" i="47"/>
  <c r="C29" i="48"/>
  <c r="D29" i="47"/>
  <c r="D29" i="48"/>
  <c r="B29" i="47"/>
  <c r="B29" i="48"/>
  <c r="E29" i="47"/>
  <c r="E29" i="48"/>
  <c r="E77" i="9"/>
  <c r="D28" i="49" s="1"/>
  <c r="F77" i="9"/>
  <c r="E28" i="49" s="1"/>
  <c r="C28" i="47"/>
  <c r="C28" i="48"/>
  <c r="B28" i="47"/>
  <c r="B28" i="48"/>
  <c r="D27" i="48"/>
  <c r="D27" i="47"/>
  <c r="B27" i="48"/>
  <c r="B27" i="47"/>
  <c r="C27" i="48"/>
  <c r="C27" i="47"/>
  <c r="E27" i="48"/>
  <c r="E27" i="47"/>
  <c r="F128" i="42"/>
  <c r="F132" i="42" s="1"/>
  <c r="E240" i="48" s="1"/>
  <c r="D240" i="48"/>
  <c r="D240" i="47"/>
  <c r="E240" i="47"/>
  <c r="C240" i="48"/>
  <c r="C240" i="47"/>
  <c r="E137" i="42"/>
  <c r="E229" i="48"/>
  <c r="E229" i="47"/>
  <c r="C229" i="48"/>
  <c r="C229" i="47"/>
  <c r="J229" i="48"/>
  <c r="J229" i="47"/>
  <c r="D229" i="48"/>
  <c r="D229" i="47"/>
  <c r="D46" i="42"/>
  <c r="D137" i="42" s="1"/>
  <c r="L27" i="42"/>
  <c r="E231" i="48"/>
  <c r="E231" i="47"/>
  <c r="F46" i="42"/>
  <c r="F137" i="42" s="1"/>
  <c r="H128" i="42"/>
  <c r="H132" i="42" s="1"/>
  <c r="G128" i="42"/>
  <c r="G132" i="42" s="1"/>
  <c r="G229" i="48"/>
  <c r="G229" i="47"/>
  <c r="G231" i="47"/>
  <c r="G231" i="48"/>
  <c r="F231" i="47"/>
  <c r="F231" i="48"/>
  <c r="G96" i="29"/>
  <c r="F106" i="47" s="1"/>
  <c r="F145" i="47" s="1"/>
  <c r="E121" i="48"/>
  <c r="E120" i="48"/>
  <c r="E120" i="47"/>
  <c r="G125" i="48"/>
  <c r="G125" i="47"/>
  <c r="G92" i="40"/>
  <c r="F124" i="47" s="1"/>
  <c r="C92" i="40"/>
  <c r="E124" i="48"/>
  <c r="E124" i="47"/>
  <c r="C124" i="48"/>
  <c r="C124" i="47"/>
  <c r="D124" i="48"/>
  <c r="D124" i="47"/>
  <c r="B124" i="48"/>
  <c r="B124" i="47"/>
  <c r="J124" i="47"/>
  <c r="J124" i="48"/>
  <c r="H92" i="40"/>
  <c r="H97" i="39"/>
  <c r="G121" i="48"/>
  <c r="G96" i="38"/>
  <c r="G120" i="48"/>
  <c r="G120" i="47"/>
  <c r="H97" i="36"/>
  <c r="H98" i="35"/>
  <c r="G116" i="49" s="1"/>
  <c r="G114" i="47"/>
  <c r="G114" i="48"/>
  <c r="G113" i="47"/>
  <c r="G113" i="48"/>
  <c r="G117" i="27"/>
  <c r="F87" i="47" s="1"/>
  <c r="G80" i="48"/>
  <c r="G144" i="48"/>
  <c r="F144" i="48"/>
  <c r="F80" i="48"/>
  <c r="F63" i="47"/>
  <c r="F143" i="47" s="1"/>
  <c r="F63" i="48"/>
  <c r="F38" i="47"/>
  <c r="F38" i="48"/>
  <c r="F36" i="47"/>
  <c r="F36" i="48"/>
  <c r="F35" i="47"/>
  <c r="F35" i="48"/>
  <c r="F30" i="47"/>
  <c r="F30" i="48"/>
  <c r="G77" i="9"/>
  <c r="F28" i="48"/>
  <c r="K258" i="47"/>
  <c r="K262" i="47"/>
  <c r="H46" i="42"/>
  <c r="H137" i="42" s="1"/>
  <c r="H96" i="29"/>
  <c r="G106" i="49" s="1"/>
  <c r="G145" i="49" s="1"/>
  <c r="G78" i="47"/>
  <c r="G143" i="47"/>
  <c r="L145" i="2"/>
  <c r="L76" i="2"/>
  <c r="H238" i="2"/>
  <c r="G16" i="49" s="1"/>
  <c r="G142" i="49" s="1"/>
  <c r="L34" i="40"/>
  <c r="L36" i="39"/>
  <c r="L35" i="38"/>
  <c r="L34" i="36"/>
  <c r="L71" i="25"/>
  <c r="E84" i="24"/>
  <c r="D78" i="24"/>
  <c r="D82" i="24" s="1"/>
  <c r="L72" i="34"/>
  <c r="L85" i="32"/>
  <c r="L75" i="32"/>
  <c r="L65" i="32"/>
  <c r="K89" i="32"/>
  <c r="L53" i="32"/>
  <c r="L36" i="32"/>
  <c r="H134" i="25"/>
  <c r="H138" i="25" s="1"/>
  <c r="L76" i="22"/>
  <c r="H90" i="22"/>
  <c r="H73" i="19"/>
  <c r="G38" i="49" s="1"/>
  <c r="L69" i="19"/>
  <c r="L46" i="19"/>
  <c r="D115" i="18"/>
  <c r="E115" i="18"/>
  <c r="F115" i="18"/>
  <c r="G46" i="42"/>
  <c r="G89" i="41"/>
  <c r="G97" i="39"/>
  <c r="G97" i="36"/>
  <c r="G98" i="35"/>
  <c r="G114" i="33"/>
  <c r="L100" i="34"/>
  <c r="L89" i="34"/>
  <c r="K104" i="34"/>
  <c r="J114" i="49" s="1"/>
  <c r="J104" i="34"/>
  <c r="L59" i="34"/>
  <c r="L39" i="34"/>
  <c r="G104" i="34"/>
  <c r="F114" i="49" s="1"/>
  <c r="G89" i="32"/>
  <c r="G104" i="30"/>
  <c r="G108" i="28"/>
  <c r="F88" i="49" s="1"/>
  <c r="F93" i="49" s="1"/>
  <c r="F78" i="47"/>
  <c r="G134" i="25"/>
  <c r="G138" i="25" s="1"/>
  <c r="L20" i="23"/>
  <c r="L24" i="23" s="1"/>
  <c r="G90" i="22"/>
  <c r="G47" i="21"/>
  <c r="G96" i="20"/>
  <c r="J115" i="18"/>
  <c r="K115" i="18"/>
  <c r="G94" i="14"/>
  <c r="G99" i="13"/>
  <c r="G170" i="12"/>
  <c r="F31" i="49" s="1"/>
  <c r="G91" i="8"/>
  <c r="G238" i="2"/>
  <c r="F16" i="49" s="1"/>
  <c r="C78" i="24"/>
  <c r="C82" i="24" s="1"/>
  <c r="B167" i="47" s="1"/>
  <c r="B169" i="47" s="1"/>
  <c r="G78" i="24"/>
  <c r="G82" i="24" s="1"/>
  <c r="F167" i="47" s="1"/>
  <c r="F169" i="47" s="1"/>
  <c r="F78" i="24"/>
  <c r="F82" i="24" s="1"/>
  <c r="E167" i="47" s="1"/>
  <c r="E169" i="47" s="1"/>
  <c r="C84" i="24"/>
  <c r="J47" i="21"/>
  <c r="L80" i="28"/>
  <c r="H108" i="28"/>
  <c r="G88" i="49" s="1"/>
  <c r="L103" i="27"/>
  <c r="H117" i="27"/>
  <c r="G87" i="49" s="1"/>
  <c r="L75" i="41"/>
  <c r="L85" i="41"/>
  <c r="K189" i="49" s="1"/>
  <c r="K196" i="49" s="1"/>
  <c r="K89" i="41"/>
  <c r="L65" i="41"/>
  <c r="J89" i="41"/>
  <c r="I125" i="49" s="1"/>
  <c r="L52" i="41"/>
  <c r="L34" i="41"/>
  <c r="L78" i="40"/>
  <c r="L67" i="40"/>
  <c r="L54" i="40"/>
  <c r="J92" i="40"/>
  <c r="I124" i="49" s="1"/>
  <c r="L93" i="39"/>
  <c r="K97" i="39"/>
  <c r="J121" i="49" s="1"/>
  <c r="L82" i="39"/>
  <c r="L71" i="39"/>
  <c r="J97" i="39"/>
  <c r="L57" i="39"/>
  <c r="L93" i="36"/>
  <c r="J96" i="38"/>
  <c r="I120" i="49" s="1"/>
  <c r="L81" i="38"/>
  <c r="L69" i="38"/>
  <c r="L54" i="38"/>
  <c r="K96" i="38"/>
  <c r="J120" i="49" s="1"/>
  <c r="L81" i="36"/>
  <c r="L67" i="36"/>
  <c r="K97" i="36"/>
  <c r="L54" i="36"/>
  <c r="L94" i="35"/>
  <c r="L68" i="35"/>
  <c r="J98" i="35"/>
  <c r="I116" i="49" s="1"/>
  <c r="K98" i="35"/>
  <c r="J116" i="49" s="1"/>
  <c r="L82" i="35"/>
  <c r="L55" i="35"/>
  <c r="L35" i="35"/>
  <c r="L82" i="29"/>
  <c r="L65" i="29"/>
  <c r="K96" i="29"/>
  <c r="J106" i="47" s="1"/>
  <c r="J145" i="47" s="1"/>
  <c r="L43" i="29"/>
  <c r="L15" i="29"/>
  <c r="L104" i="28"/>
  <c r="L93" i="28"/>
  <c r="K108" i="28"/>
  <c r="J88" i="49" s="1"/>
  <c r="J93" i="49" s="1"/>
  <c r="L63" i="28"/>
  <c r="J108" i="28"/>
  <c r="I88" i="49" s="1"/>
  <c r="I93" i="49" s="1"/>
  <c r="I151" i="49" s="1"/>
  <c r="L37" i="28"/>
  <c r="L113" i="27"/>
  <c r="K117" i="27"/>
  <c r="L88" i="27"/>
  <c r="J117" i="27"/>
  <c r="L69" i="27"/>
  <c r="L43" i="27"/>
  <c r="L86" i="22"/>
  <c r="L66" i="22"/>
  <c r="L54" i="22"/>
  <c r="J90" i="22"/>
  <c r="L37" i="22"/>
  <c r="L42" i="18"/>
  <c r="L92" i="18"/>
  <c r="L67" i="18"/>
  <c r="L81" i="18"/>
  <c r="C115" i="18"/>
  <c r="G115" i="18"/>
  <c r="L111" i="18"/>
  <c r="L45" i="26"/>
  <c r="J78" i="47"/>
  <c r="I78" i="47"/>
  <c r="L32" i="26"/>
  <c r="K78" i="50" s="1"/>
  <c r="K45" i="47"/>
  <c r="K83" i="47"/>
  <c r="J80" i="47"/>
  <c r="J144" i="47"/>
  <c r="D80" i="47"/>
  <c r="D144" i="47"/>
  <c r="C144" i="47"/>
  <c r="C80" i="47"/>
  <c r="L130" i="25"/>
  <c r="K134" i="25"/>
  <c r="K138" i="25" s="1"/>
  <c r="J134" i="25"/>
  <c r="J138" i="25" s="1"/>
  <c r="L93" i="25"/>
  <c r="J65" i="47"/>
  <c r="J67" i="47" s="1"/>
  <c r="K140" i="25"/>
  <c r="L34" i="25"/>
  <c r="J143" i="47"/>
  <c r="L43" i="21"/>
  <c r="L22" i="21"/>
  <c r="J49" i="17"/>
  <c r="F49" i="17"/>
  <c r="L45" i="17"/>
  <c r="H49" i="17"/>
  <c r="C167" i="47"/>
  <c r="D84" i="24"/>
  <c r="B173" i="47"/>
  <c r="D169" i="47"/>
  <c r="H78" i="24"/>
  <c r="H82" i="24" s="1"/>
  <c r="G167" i="47" s="1"/>
  <c r="G169" i="47" s="1"/>
  <c r="L18" i="24"/>
  <c r="L22" i="24" s="1"/>
  <c r="K162" i="47"/>
  <c r="G112" i="10"/>
  <c r="J112" i="10"/>
  <c r="H112" i="10"/>
  <c r="L100" i="10"/>
  <c r="K112" i="10"/>
  <c r="L85" i="10"/>
  <c r="L73" i="10"/>
  <c r="L35" i="10"/>
  <c r="L124" i="42"/>
  <c r="K128" i="42"/>
  <c r="K132" i="42" s="1"/>
  <c r="J128" i="42"/>
  <c r="J132" i="42" s="1"/>
  <c r="L66" i="42"/>
  <c r="K46" i="42"/>
  <c r="L42" i="42"/>
  <c r="J119" i="47"/>
  <c r="L101" i="37"/>
  <c r="L80" i="33"/>
  <c r="L110" i="33"/>
  <c r="L96" i="33"/>
  <c r="J114" i="33"/>
  <c r="I115" i="49" s="1"/>
  <c r="L65" i="33"/>
  <c r="L37" i="33"/>
  <c r="K114" i="33"/>
  <c r="H114" i="33"/>
  <c r="G115" i="49" s="1"/>
  <c r="L234" i="2"/>
  <c r="L222" i="2"/>
  <c r="L198" i="2"/>
  <c r="L168" i="2"/>
  <c r="L120" i="2"/>
  <c r="K238" i="2"/>
  <c r="L55" i="2"/>
  <c r="J73" i="19"/>
  <c r="L34" i="19"/>
  <c r="K49" i="17"/>
  <c r="L33" i="17"/>
  <c r="L23" i="17"/>
  <c r="L82" i="11"/>
  <c r="L91" i="11"/>
  <c r="L68" i="11"/>
  <c r="L56" i="11"/>
  <c r="J95" i="11"/>
  <c r="I30" i="47" s="1"/>
  <c r="K95" i="11"/>
  <c r="J30" i="47" s="1"/>
  <c r="L35" i="11"/>
  <c r="D96" i="20"/>
  <c r="H96" i="20"/>
  <c r="L34" i="20"/>
  <c r="L92" i="20"/>
  <c r="K96" i="20"/>
  <c r="L83" i="20"/>
  <c r="L73" i="20"/>
  <c r="J96" i="20"/>
  <c r="L61" i="20"/>
  <c r="H104" i="30"/>
  <c r="H77" i="9"/>
  <c r="G28" i="49" s="1"/>
  <c r="L73" i="9"/>
  <c r="J77" i="9"/>
  <c r="I28" i="49" s="1"/>
  <c r="L61" i="9"/>
  <c r="L49" i="9"/>
  <c r="K77" i="9"/>
  <c r="J28" i="49" s="1"/>
  <c r="L31" i="9"/>
  <c r="L100" i="30"/>
  <c r="J104" i="30"/>
  <c r="L89" i="30"/>
  <c r="L73" i="30"/>
  <c r="K104" i="30"/>
  <c r="L60" i="30"/>
  <c r="L37" i="30"/>
  <c r="L32" i="8"/>
  <c r="K91" i="8"/>
  <c r="J91" i="8"/>
  <c r="L54" i="8"/>
  <c r="H91" i="8"/>
  <c r="J78" i="24"/>
  <c r="J82" i="24" s="1"/>
  <c r="L66" i="24"/>
  <c r="L78" i="24" s="1"/>
  <c r="L82" i="24" s="1"/>
  <c r="K78" i="24"/>
  <c r="K82" i="24" s="1"/>
  <c r="H94" i="14"/>
  <c r="G33" i="49" s="1"/>
  <c r="L56" i="14"/>
  <c r="E94" i="14"/>
  <c r="L79" i="14"/>
  <c r="L68" i="14"/>
  <c r="J94" i="14"/>
  <c r="L39" i="14"/>
  <c r="L90" i="14"/>
  <c r="L73" i="13"/>
  <c r="L85" i="13"/>
  <c r="D99" i="13"/>
  <c r="H99" i="13"/>
  <c r="G32" i="49" s="1"/>
  <c r="J99" i="13"/>
  <c r="I32" i="47" s="1"/>
  <c r="L95" i="13"/>
  <c r="L99" i="13" s="1"/>
  <c r="K32" i="47" s="1"/>
  <c r="F99" i="13"/>
  <c r="K99" i="13"/>
  <c r="F170" i="12"/>
  <c r="E31" i="49" s="1"/>
  <c r="E170" i="12"/>
  <c r="D31" i="49" s="1"/>
  <c r="L103" i="12"/>
  <c r="J170" i="12"/>
  <c r="I31" i="49" s="1"/>
  <c r="K170" i="12"/>
  <c r="J31" i="49" s="1"/>
  <c r="D170" i="12"/>
  <c r="C31" i="49" s="1"/>
  <c r="L127" i="12"/>
  <c r="L48" i="12"/>
  <c r="L151" i="12"/>
  <c r="L166" i="12"/>
  <c r="H170" i="12"/>
  <c r="G31" i="49" s="1"/>
  <c r="L61" i="16"/>
  <c r="L51" i="16"/>
  <c r="J65" i="16"/>
  <c r="L35" i="16"/>
  <c r="F65" i="16"/>
  <c r="L24" i="16"/>
  <c r="H65" i="16"/>
  <c r="L38" i="15"/>
  <c r="L129" i="15" s="1"/>
  <c r="C129" i="15"/>
  <c r="G129" i="15"/>
  <c r="J105" i="37"/>
  <c r="I119" i="49" s="1"/>
  <c r="G105" i="37"/>
  <c r="D105" i="37"/>
  <c r="L36" i="37"/>
  <c r="L74" i="37"/>
  <c r="L87" i="37"/>
  <c r="H105" i="37"/>
  <c r="G119" i="49" s="1"/>
  <c r="L61" i="37"/>
  <c r="H47" i="21"/>
  <c r="K47" i="21"/>
  <c r="K93" i="7"/>
  <c r="J93" i="7"/>
  <c r="H93" i="7"/>
  <c r="G93" i="7"/>
  <c r="F93" i="7"/>
  <c r="E93" i="7"/>
  <c r="D93" i="7"/>
  <c r="C93" i="7"/>
  <c r="K84" i="7"/>
  <c r="J84" i="7"/>
  <c r="H84" i="7"/>
  <c r="G84" i="7"/>
  <c r="F84" i="7"/>
  <c r="E84" i="7"/>
  <c r="D84" i="7"/>
  <c r="C84" i="7"/>
  <c r="K69" i="7"/>
  <c r="K97" i="7" s="1"/>
  <c r="J26" i="48" s="1"/>
  <c r="H69" i="7"/>
  <c r="G69" i="7"/>
  <c r="F69" i="7"/>
  <c r="F97" i="7" s="1"/>
  <c r="E26" i="48" s="1"/>
  <c r="E69" i="7"/>
  <c r="E97" i="7" s="1"/>
  <c r="D26" i="48" s="1"/>
  <c r="D69" i="7"/>
  <c r="D97" i="7" s="1"/>
  <c r="C26" i="48" s="1"/>
  <c r="C69" i="7"/>
  <c r="C97" i="7" s="1"/>
  <c r="B26" i="48" s="1"/>
  <c r="K57" i="7"/>
  <c r="H57" i="7"/>
  <c r="G57" i="7"/>
  <c r="F57" i="7"/>
  <c r="E57" i="7"/>
  <c r="D57" i="7"/>
  <c r="C57" i="7"/>
  <c r="K33" i="7"/>
  <c r="J33" i="7"/>
  <c r="J97" i="7" s="1"/>
  <c r="G33" i="7"/>
  <c r="F33" i="7"/>
  <c r="E33" i="7"/>
  <c r="D33" i="7"/>
  <c r="C26" i="47" s="1"/>
  <c r="C33" i="7"/>
  <c r="L80" i="7"/>
  <c r="L76" i="7"/>
  <c r="L77" i="7"/>
  <c r="L78" i="7"/>
  <c r="L79" i="7"/>
  <c r="L62" i="7"/>
  <c r="L63" i="7"/>
  <c r="L64" i="7"/>
  <c r="L65" i="7"/>
  <c r="L38" i="7"/>
  <c r="L39" i="7"/>
  <c r="L40" i="7"/>
  <c r="L41" i="7"/>
  <c r="L45" i="7"/>
  <c r="L46" i="7"/>
  <c r="L47" i="7"/>
  <c r="L52" i="7"/>
  <c r="L53" i="7"/>
  <c r="L89" i="7"/>
  <c r="L88" i="7"/>
  <c r="L73" i="7"/>
  <c r="L61" i="7"/>
  <c r="L37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13" i="7"/>
  <c r="K93" i="6"/>
  <c r="J93" i="6"/>
  <c r="H93" i="6"/>
  <c r="G93" i="6"/>
  <c r="F93" i="6"/>
  <c r="E93" i="6"/>
  <c r="D93" i="6"/>
  <c r="C93" i="6"/>
  <c r="K84" i="6"/>
  <c r="J84" i="6"/>
  <c r="H84" i="6"/>
  <c r="G84" i="6"/>
  <c r="F84" i="6"/>
  <c r="E84" i="6"/>
  <c r="D84" i="6"/>
  <c r="C84" i="6"/>
  <c r="K71" i="6"/>
  <c r="J71" i="6"/>
  <c r="H71" i="6"/>
  <c r="G71" i="6"/>
  <c r="F71" i="6"/>
  <c r="E71" i="6"/>
  <c r="D71" i="6"/>
  <c r="C71" i="6"/>
  <c r="K60" i="6"/>
  <c r="J60" i="6"/>
  <c r="H60" i="6"/>
  <c r="G60" i="6"/>
  <c r="F60" i="6"/>
  <c r="E60" i="6"/>
  <c r="D60" i="6"/>
  <c r="C60" i="6"/>
  <c r="K40" i="6"/>
  <c r="J40" i="6"/>
  <c r="H40" i="6"/>
  <c r="G40" i="6"/>
  <c r="F40" i="6"/>
  <c r="E40" i="6"/>
  <c r="D40" i="6"/>
  <c r="C40" i="6"/>
  <c r="L89" i="6"/>
  <c r="L88" i="6"/>
  <c r="L80" i="6"/>
  <c r="L79" i="6"/>
  <c r="L78" i="6"/>
  <c r="L77" i="6"/>
  <c r="L76" i="6"/>
  <c r="L75" i="6"/>
  <c r="L67" i="6"/>
  <c r="L66" i="6"/>
  <c r="L65" i="6"/>
  <c r="L64" i="6"/>
  <c r="L45" i="6"/>
  <c r="L46" i="6"/>
  <c r="L47" i="6"/>
  <c r="L48" i="6"/>
  <c r="L49" i="6"/>
  <c r="L50" i="6"/>
  <c r="L51" i="6"/>
  <c r="L52" i="6"/>
  <c r="L53" i="6"/>
  <c r="L54" i="6"/>
  <c r="L55" i="6"/>
  <c r="L56" i="6"/>
  <c r="L44" i="6"/>
  <c r="L14" i="6"/>
  <c r="L15" i="6"/>
  <c r="L16" i="6"/>
  <c r="L17" i="6"/>
  <c r="L18" i="6"/>
  <c r="L19" i="6"/>
  <c r="L20" i="6"/>
  <c r="L21" i="6"/>
  <c r="L22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13" i="6"/>
  <c r="K112" i="5"/>
  <c r="J112" i="5"/>
  <c r="H112" i="5"/>
  <c r="G112" i="5"/>
  <c r="F112" i="5"/>
  <c r="E112" i="5"/>
  <c r="D112" i="5"/>
  <c r="C112" i="5"/>
  <c r="H101" i="5"/>
  <c r="G101" i="5"/>
  <c r="F101" i="5"/>
  <c r="E101" i="5"/>
  <c r="D101" i="5"/>
  <c r="C101" i="5"/>
  <c r="K81" i="5"/>
  <c r="J81" i="5"/>
  <c r="H81" i="5"/>
  <c r="G81" i="5"/>
  <c r="F81" i="5"/>
  <c r="E81" i="5"/>
  <c r="D81" i="5"/>
  <c r="C81" i="5"/>
  <c r="K68" i="5"/>
  <c r="J68" i="5"/>
  <c r="H68" i="5"/>
  <c r="G68" i="5"/>
  <c r="F68" i="5"/>
  <c r="E68" i="5"/>
  <c r="D68" i="5"/>
  <c r="C68" i="5"/>
  <c r="K44" i="5"/>
  <c r="J44" i="5"/>
  <c r="H44" i="5"/>
  <c r="G44" i="5"/>
  <c r="F44" i="5"/>
  <c r="F116" i="5" s="1"/>
  <c r="E44" i="5"/>
  <c r="E116" i="5" s="1"/>
  <c r="D44" i="5"/>
  <c r="C44" i="5"/>
  <c r="C41" i="4"/>
  <c r="L106" i="5"/>
  <c r="L107" i="5"/>
  <c r="L108" i="5"/>
  <c r="L86" i="5"/>
  <c r="L87" i="5"/>
  <c r="L88" i="5"/>
  <c r="L89" i="5"/>
  <c r="L90" i="5"/>
  <c r="L91" i="5"/>
  <c r="L95" i="5"/>
  <c r="L96" i="5"/>
  <c r="L97" i="5"/>
  <c r="L73" i="5"/>
  <c r="L74" i="5"/>
  <c r="L75" i="5"/>
  <c r="L76" i="5"/>
  <c r="L77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105" i="5"/>
  <c r="L85" i="5"/>
  <c r="L72" i="5"/>
  <c r="L48" i="5"/>
  <c r="L30" i="5"/>
  <c r="L31" i="5"/>
  <c r="L32" i="5"/>
  <c r="L33" i="5"/>
  <c r="L34" i="5"/>
  <c r="L35" i="5"/>
  <c r="L36" i="5"/>
  <c r="L37" i="5"/>
  <c r="L38" i="5"/>
  <c r="L39" i="5"/>
  <c r="L40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13" i="5"/>
  <c r="K69" i="4"/>
  <c r="J69" i="4"/>
  <c r="H69" i="4"/>
  <c r="G69" i="4"/>
  <c r="F69" i="4"/>
  <c r="E69" i="4"/>
  <c r="D69" i="4"/>
  <c r="C69" i="4"/>
  <c r="K60" i="4"/>
  <c r="J60" i="4"/>
  <c r="H60" i="4"/>
  <c r="G60" i="4"/>
  <c r="F60" i="4"/>
  <c r="E60" i="4"/>
  <c r="D60" i="4"/>
  <c r="C60" i="4"/>
  <c r="K51" i="4"/>
  <c r="J51" i="4"/>
  <c r="H51" i="4"/>
  <c r="G51" i="4"/>
  <c r="F51" i="4"/>
  <c r="E51" i="4"/>
  <c r="D51" i="4"/>
  <c r="C51" i="4"/>
  <c r="K41" i="4"/>
  <c r="J41" i="4"/>
  <c r="H41" i="4"/>
  <c r="G41" i="4"/>
  <c r="F41" i="4"/>
  <c r="E41" i="4"/>
  <c r="D41" i="4"/>
  <c r="K19" i="4"/>
  <c r="J19" i="4"/>
  <c r="H19" i="4"/>
  <c r="G19" i="4"/>
  <c r="F19" i="4"/>
  <c r="E19" i="4"/>
  <c r="D19" i="4"/>
  <c r="C19" i="4"/>
  <c r="L65" i="4"/>
  <c r="L64" i="4"/>
  <c r="L56" i="4"/>
  <c r="L55" i="4"/>
  <c r="L46" i="4"/>
  <c r="L47" i="4"/>
  <c r="L45" i="4"/>
  <c r="L24" i="4"/>
  <c r="L33" i="4"/>
  <c r="L34" i="4"/>
  <c r="L35" i="4"/>
  <c r="L36" i="4"/>
  <c r="L37" i="4"/>
  <c r="L23" i="4"/>
  <c r="L12" i="4"/>
  <c r="L19" i="4" s="1"/>
  <c r="L100" i="3"/>
  <c r="L101" i="3"/>
  <c r="L102" i="3"/>
  <c r="L103" i="3"/>
  <c r="L104" i="3"/>
  <c r="L99" i="3"/>
  <c r="L82" i="3"/>
  <c r="L83" i="3"/>
  <c r="L84" i="3"/>
  <c r="L85" i="3"/>
  <c r="L86" i="3"/>
  <c r="L87" i="3"/>
  <c r="L88" i="3"/>
  <c r="L89" i="3"/>
  <c r="L90" i="3"/>
  <c r="L91" i="3"/>
  <c r="L81" i="3"/>
  <c r="L69" i="3"/>
  <c r="L70" i="3"/>
  <c r="L71" i="3"/>
  <c r="L72" i="3"/>
  <c r="L73" i="3"/>
  <c r="L68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45" i="3"/>
  <c r="L44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15" i="3"/>
  <c r="L13" i="3"/>
  <c r="L14" i="3"/>
  <c r="K108" i="3"/>
  <c r="J108" i="3"/>
  <c r="K95" i="3"/>
  <c r="J95" i="3"/>
  <c r="K77" i="3"/>
  <c r="J77" i="3"/>
  <c r="K64" i="3"/>
  <c r="J64" i="3"/>
  <c r="K40" i="3"/>
  <c r="J40" i="3"/>
  <c r="H108" i="3"/>
  <c r="G108" i="3"/>
  <c r="F108" i="3"/>
  <c r="E108" i="3"/>
  <c r="D108" i="3"/>
  <c r="C108" i="3"/>
  <c r="H95" i="3"/>
  <c r="G95" i="3"/>
  <c r="F95" i="3"/>
  <c r="E95" i="3"/>
  <c r="D95" i="3"/>
  <c r="C95" i="3"/>
  <c r="H77" i="3"/>
  <c r="G77" i="3"/>
  <c r="E77" i="3"/>
  <c r="F77" i="3"/>
  <c r="D77" i="3"/>
  <c r="C77" i="3"/>
  <c r="H64" i="3"/>
  <c r="F64" i="3"/>
  <c r="G64" i="3"/>
  <c r="E64" i="3"/>
  <c r="D64" i="3"/>
  <c r="C64" i="3"/>
  <c r="H40" i="3"/>
  <c r="G40" i="3"/>
  <c r="F40" i="3"/>
  <c r="E40" i="3"/>
  <c r="D40" i="3"/>
  <c r="C40" i="3"/>
  <c r="B412" i="1"/>
  <c r="B482" i="1"/>
  <c r="B609" i="1"/>
  <c r="B709" i="1"/>
  <c r="B801" i="1"/>
  <c r="B906" i="1"/>
  <c r="B984" i="1"/>
  <c r="B1082" i="1"/>
  <c r="B1181" i="1"/>
  <c r="B1320" i="1"/>
  <c r="B1424" i="1"/>
  <c r="B1516" i="1"/>
  <c r="B1646" i="1"/>
  <c r="B1709" i="1"/>
  <c r="B1758" i="1"/>
  <c r="B1884" i="1"/>
  <c r="B1978" i="1"/>
  <c r="B2084" i="1"/>
  <c r="B2134" i="1"/>
  <c r="B2237" i="1"/>
  <c r="B2253" i="1"/>
  <c r="B2271" i="1"/>
  <c r="B2357" i="1"/>
  <c r="B2514" i="1"/>
  <c r="B3173" i="1"/>
  <c r="B3190" i="1"/>
  <c r="B3215" i="1"/>
  <c r="B3308" i="1"/>
  <c r="B3411" i="1"/>
  <c r="B3531" i="1"/>
  <c r="B3633" i="1"/>
  <c r="B3744" i="1"/>
  <c r="B3846" i="1"/>
  <c r="B3955" i="1"/>
  <c r="B4056" i="1"/>
  <c r="B4080" i="1"/>
  <c r="B4185" i="1"/>
  <c r="B4278" i="1"/>
  <c r="B4311" i="1"/>
  <c r="B4336" i="1"/>
  <c r="B4789" i="1"/>
  <c r="B4864" i="1"/>
  <c r="B4896" i="1"/>
  <c r="B4922" i="1"/>
  <c r="B5084" i="1"/>
  <c r="B5178" i="1"/>
  <c r="I37" i="49" l="1"/>
  <c r="I187" i="50"/>
  <c r="I337" i="50"/>
  <c r="I37" i="50"/>
  <c r="F342" i="50"/>
  <c r="F42" i="49"/>
  <c r="F192" i="50"/>
  <c r="F42" i="50"/>
  <c r="G42" i="49"/>
  <c r="G42" i="50"/>
  <c r="G342" i="50"/>
  <c r="G192" i="50"/>
  <c r="C42" i="48"/>
  <c r="C42" i="49"/>
  <c r="C342" i="50"/>
  <c r="C192" i="50"/>
  <c r="C42" i="50"/>
  <c r="E342" i="50"/>
  <c r="E192" i="50"/>
  <c r="E42" i="49"/>
  <c r="E42" i="50"/>
  <c r="B42" i="48"/>
  <c r="B192" i="50"/>
  <c r="B42" i="49"/>
  <c r="B42" i="50"/>
  <c r="B342" i="50"/>
  <c r="I42" i="49"/>
  <c r="I192" i="50"/>
  <c r="I42" i="50"/>
  <c r="I342" i="50"/>
  <c r="D342" i="50"/>
  <c r="D42" i="50"/>
  <c r="D192" i="50"/>
  <c r="D42" i="49"/>
  <c r="I40" i="49"/>
  <c r="I190" i="50"/>
  <c r="I40" i="50"/>
  <c r="I340" i="50"/>
  <c r="I121" i="50"/>
  <c r="I421" i="50"/>
  <c r="I121" i="49"/>
  <c r="I271" i="50"/>
  <c r="I114" i="49"/>
  <c r="I264" i="50"/>
  <c r="I282" i="50" s="1"/>
  <c r="I414" i="50"/>
  <c r="I432" i="50" s="1"/>
  <c r="I114" i="50"/>
  <c r="I132" i="50" s="1"/>
  <c r="K334" i="50"/>
  <c r="K34" i="49"/>
  <c r="K34" i="50"/>
  <c r="K184" i="50"/>
  <c r="I33" i="50"/>
  <c r="I33" i="49"/>
  <c r="I183" i="50"/>
  <c r="I333" i="50"/>
  <c r="E97" i="6"/>
  <c r="C97" i="6"/>
  <c r="I166" i="50"/>
  <c r="I292" i="50" s="1"/>
  <c r="I316" i="50"/>
  <c r="I442" i="50" s="1"/>
  <c r="I16" i="50"/>
  <c r="I142" i="50" s="1"/>
  <c r="F143" i="49"/>
  <c r="J443" i="50"/>
  <c r="J446" i="50" s="1"/>
  <c r="C67" i="47"/>
  <c r="C143" i="47"/>
  <c r="C71" i="47"/>
  <c r="I293" i="50"/>
  <c r="I296" i="50" s="1"/>
  <c r="E143" i="47"/>
  <c r="E146" i="47" s="1"/>
  <c r="E67" i="47"/>
  <c r="E71" i="47"/>
  <c r="K63" i="50"/>
  <c r="K213" i="50"/>
  <c r="J293" i="50"/>
  <c r="J296" i="50" s="1"/>
  <c r="C143" i="50"/>
  <c r="C146" i="50" s="1"/>
  <c r="C67" i="50"/>
  <c r="I443" i="50"/>
  <c r="I446" i="50" s="1"/>
  <c r="E293" i="50"/>
  <c r="E296" i="50" s="1"/>
  <c r="E217" i="50"/>
  <c r="B67" i="50"/>
  <c r="B143" i="50"/>
  <c r="B146" i="50" s="1"/>
  <c r="D217" i="50"/>
  <c r="D293" i="50"/>
  <c r="D296" i="50" s="1"/>
  <c r="B67" i="49"/>
  <c r="B143" i="49"/>
  <c r="B71" i="49"/>
  <c r="C293" i="50"/>
  <c r="C296" i="50" s="1"/>
  <c r="C217" i="50"/>
  <c r="C146" i="48"/>
  <c r="J71" i="50"/>
  <c r="K71" i="50" s="1"/>
  <c r="J143" i="50"/>
  <c r="J146" i="50" s="1"/>
  <c r="J67" i="50"/>
  <c r="C443" i="50"/>
  <c r="C446" i="50" s="1"/>
  <c r="C367" i="50"/>
  <c r="G143" i="49"/>
  <c r="G71" i="49"/>
  <c r="K61" i="49" s="1"/>
  <c r="E143" i="48"/>
  <c r="E146" i="48" s="1"/>
  <c r="E67" i="48"/>
  <c r="E71" i="48"/>
  <c r="K443" i="50"/>
  <c r="E67" i="50"/>
  <c r="E143" i="50"/>
  <c r="E146" i="50" s="1"/>
  <c r="J71" i="47"/>
  <c r="C71" i="48"/>
  <c r="C143" i="48"/>
  <c r="C67" i="48"/>
  <c r="G67" i="50"/>
  <c r="G143" i="50"/>
  <c r="G146" i="50" s="1"/>
  <c r="E71" i="49"/>
  <c r="E67" i="49"/>
  <c r="E143" i="49"/>
  <c r="D143" i="48"/>
  <c r="D146" i="48" s="1"/>
  <c r="D67" i="48"/>
  <c r="D71" i="48"/>
  <c r="F143" i="50"/>
  <c r="F146" i="50" s="1"/>
  <c r="F67" i="50"/>
  <c r="E443" i="50"/>
  <c r="E446" i="50" s="1"/>
  <c r="E367" i="50"/>
  <c r="G293" i="50"/>
  <c r="G296" i="50" s="1"/>
  <c r="J150" i="50"/>
  <c r="J65" i="48"/>
  <c r="J150" i="48" s="1"/>
  <c r="J215" i="50"/>
  <c r="J300" i="50" s="1"/>
  <c r="J365" i="50"/>
  <c r="J450" i="50" s="1"/>
  <c r="J65" i="49"/>
  <c r="J150" i="49" s="1"/>
  <c r="G140" i="25"/>
  <c r="F65" i="49"/>
  <c r="F150" i="49" s="1"/>
  <c r="F150" i="50"/>
  <c r="F365" i="50"/>
  <c r="F450" i="50" s="1"/>
  <c r="F215" i="50"/>
  <c r="F300" i="50" s="1"/>
  <c r="B71" i="48"/>
  <c r="B143" i="48"/>
  <c r="B67" i="48"/>
  <c r="D143" i="49"/>
  <c r="D67" i="49"/>
  <c r="D71" i="49"/>
  <c r="B217" i="50"/>
  <c r="B293" i="50"/>
  <c r="B296" i="50" s="1"/>
  <c r="J143" i="48"/>
  <c r="J71" i="48"/>
  <c r="J67" i="48"/>
  <c r="C67" i="49"/>
  <c r="C71" i="49"/>
  <c r="C143" i="49"/>
  <c r="J143" i="49"/>
  <c r="G65" i="48"/>
  <c r="G150" i="48" s="1"/>
  <c r="G365" i="50"/>
  <c r="G450" i="50" s="1"/>
  <c r="G215" i="50"/>
  <c r="G300" i="50" s="1"/>
  <c r="G150" i="50"/>
  <c r="G65" i="49"/>
  <c r="G150" i="49" s="1"/>
  <c r="I65" i="47"/>
  <c r="I150" i="47" s="1"/>
  <c r="I65" i="48"/>
  <c r="I150" i="48" s="1"/>
  <c r="I215" i="50"/>
  <c r="I300" i="50" s="1"/>
  <c r="I365" i="50"/>
  <c r="I450" i="50" s="1"/>
  <c r="I150" i="50"/>
  <c r="I65" i="49"/>
  <c r="I150" i="49" s="1"/>
  <c r="I143" i="50"/>
  <c r="I146" i="50" s="1"/>
  <c r="D71" i="47"/>
  <c r="D67" i="47"/>
  <c r="D143" i="47"/>
  <c r="D146" i="47" s="1"/>
  <c r="G443" i="50"/>
  <c r="G446" i="50" s="1"/>
  <c r="B71" i="47"/>
  <c r="B143" i="47"/>
  <c r="B67" i="47"/>
  <c r="F443" i="50"/>
  <c r="F446" i="50" s="1"/>
  <c r="F293" i="50"/>
  <c r="F296" i="50" s="1"/>
  <c r="F217" i="50"/>
  <c r="D367" i="50"/>
  <c r="D443" i="50"/>
  <c r="D446" i="50" s="1"/>
  <c r="D67" i="50"/>
  <c r="D143" i="50"/>
  <c r="D146" i="50" s="1"/>
  <c r="B443" i="50"/>
  <c r="B446" i="50" s="1"/>
  <c r="B367" i="50"/>
  <c r="J167" i="48"/>
  <c r="J167" i="49"/>
  <c r="K167" i="49"/>
  <c r="K167" i="48"/>
  <c r="I167" i="48"/>
  <c r="I167" i="49"/>
  <c r="K80" i="50"/>
  <c r="K95" i="50"/>
  <c r="K144" i="50"/>
  <c r="K143" i="50"/>
  <c r="G93" i="49"/>
  <c r="F28" i="47"/>
  <c r="F28" i="49"/>
  <c r="G118" i="48"/>
  <c r="G118" i="49"/>
  <c r="G121" i="47"/>
  <c r="G121" i="49"/>
  <c r="G124" i="48"/>
  <c r="G124" i="49"/>
  <c r="E132" i="49"/>
  <c r="G132" i="49"/>
  <c r="J119" i="48"/>
  <c r="J119" i="49"/>
  <c r="C142" i="49"/>
  <c r="C264" i="49"/>
  <c r="B142" i="47"/>
  <c r="B146" i="47" s="1"/>
  <c r="B264" i="47"/>
  <c r="B142" i="49"/>
  <c r="B146" i="49" s="1"/>
  <c r="B264" i="49"/>
  <c r="F142" i="49"/>
  <c r="F146" i="49" s="1"/>
  <c r="F264" i="49"/>
  <c r="B142" i="48"/>
  <c r="B146" i="48" s="1"/>
  <c r="B264" i="48"/>
  <c r="E264" i="49"/>
  <c r="E142" i="49"/>
  <c r="E146" i="49" s="1"/>
  <c r="C146" i="47"/>
  <c r="J16" i="47"/>
  <c r="J142" i="47" s="1"/>
  <c r="J146" i="47" s="1"/>
  <c r="J16" i="48"/>
  <c r="J142" i="48" s="1"/>
  <c r="J146" i="48" s="1"/>
  <c r="J16" i="49"/>
  <c r="D264" i="49"/>
  <c r="D142" i="49"/>
  <c r="D146" i="49" s="1"/>
  <c r="I16" i="47"/>
  <c r="I142" i="47" s="1"/>
  <c r="I16" i="48"/>
  <c r="I142" i="48" s="1"/>
  <c r="I16" i="49"/>
  <c r="I142" i="49" s="1"/>
  <c r="I145" i="47"/>
  <c r="I145" i="49"/>
  <c r="I106" i="48"/>
  <c r="I145" i="48" s="1"/>
  <c r="G80" i="49"/>
  <c r="G144" i="49"/>
  <c r="G146" i="49" s="1"/>
  <c r="G264" i="49"/>
  <c r="G151" i="49"/>
  <c r="G99" i="49"/>
  <c r="K76" i="49" s="1"/>
  <c r="G95" i="49"/>
  <c r="F151" i="49"/>
  <c r="F95" i="49"/>
  <c r="F99" i="49"/>
  <c r="J151" i="49"/>
  <c r="J95" i="49"/>
  <c r="J99" i="49"/>
  <c r="G138" i="49"/>
  <c r="K104" i="49" s="1"/>
  <c r="G152" i="49"/>
  <c r="F120" i="47"/>
  <c r="F120" i="49"/>
  <c r="F132" i="49"/>
  <c r="F138" i="49" s="1"/>
  <c r="B114" i="47"/>
  <c r="B152" i="49"/>
  <c r="B134" i="49"/>
  <c r="B138" i="49"/>
  <c r="B114" i="48"/>
  <c r="B132" i="48" s="1"/>
  <c r="B134" i="48" s="1"/>
  <c r="E152" i="49"/>
  <c r="E134" i="49"/>
  <c r="E138" i="49"/>
  <c r="D138" i="49"/>
  <c r="D134" i="49"/>
  <c r="D152" i="49"/>
  <c r="F134" i="49"/>
  <c r="J132" i="49"/>
  <c r="J134" i="49" s="1"/>
  <c r="C134" i="49"/>
  <c r="C152" i="49"/>
  <c r="C138" i="49"/>
  <c r="I143" i="48"/>
  <c r="I143" i="49"/>
  <c r="K63" i="47"/>
  <c r="K143" i="47" s="1"/>
  <c r="K63" i="49"/>
  <c r="K63" i="48"/>
  <c r="I26" i="48"/>
  <c r="I26" i="49"/>
  <c r="I99" i="49"/>
  <c r="I80" i="49"/>
  <c r="I144" i="49"/>
  <c r="I95" i="49"/>
  <c r="I80" i="47"/>
  <c r="K78" i="49"/>
  <c r="K78" i="48"/>
  <c r="I80" i="48"/>
  <c r="I144" i="48"/>
  <c r="I118" i="47"/>
  <c r="I118" i="49"/>
  <c r="I132" i="49" s="1"/>
  <c r="I138" i="49" s="1"/>
  <c r="J152" i="49"/>
  <c r="B31" i="47"/>
  <c r="L46" i="42"/>
  <c r="K229" i="49"/>
  <c r="J125" i="47"/>
  <c r="J125" i="48"/>
  <c r="I125" i="47"/>
  <c r="I125" i="48"/>
  <c r="J121" i="47"/>
  <c r="J121" i="48"/>
  <c r="I121" i="47"/>
  <c r="I121" i="48"/>
  <c r="J120" i="47"/>
  <c r="J120" i="48"/>
  <c r="F120" i="48"/>
  <c r="C119" i="47"/>
  <c r="C119" i="48"/>
  <c r="I119" i="47"/>
  <c r="I119" i="48"/>
  <c r="E118" i="47"/>
  <c r="I118" i="48"/>
  <c r="J118" i="47"/>
  <c r="J118" i="48"/>
  <c r="J116" i="47"/>
  <c r="J116" i="48"/>
  <c r="I116" i="47"/>
  <c r="I116" i="48"/>
  <c r="J115" i="47"/>
  <c r="J115" i="48"/>
  <c r="I115" i="47"/>
  <c r="I115" i="48"/>
  <c r="D132" i="48"/>
  <c r="D134" i="48" s="1"/>
  <c r="I114" i="47"/>
  <c r="I114" i="48"/>
  <c r="J114" i="47"/>
  <c r="J114" i="48"/>
  <c r="J113" i="47"/>
  <c r="J113" i="48"/>
  <c r="B132" i="47"/>
  <c r="B138" i="47" s="1"/>
  <c r="E132" i="48"/>
  <c r="E152" i="48" s="1"/>
  <c r="C110" i="47"/>
  <c r="C132" i="47" s="1"/>
  <c r="J110" i="47"/>
  <c r="J110" i="48"/>
  <c r="E132" i="47"/>
  <c r="E134" i="47" s="1"/>
  <c r="C132" i="48"/>
  <c r="C134" i="48" s="1"/>
  <c r="D132" i="47"/>
  <c r="D138" i="47" s="1"/>
  <c r="B93" i="48"/>
  <c r="B99" i="48" s="1"/>
  <c r="I88" i="47"/>
  <c r="I88" i="48"/>
  <c r="J88" i="47"/>
  <c r="J93" i="47" s="1"/>
  <c r="J88" i="48"/>
  <c r="C93" i="47"/>
  <c r="C151" i="47" s="1"/>
  <c r="C93" i="48"/>
  <c r="C151" i="48" s="1"/>
  <c r="J87" i="47"/>
  <c r="J87" i="48"/>
  <c r="D151" i="47"/>
  <c r="D99" i="47"/>
  <c r="D95" i="47"/>
  <c r="B151" i="48"/>
  <c r="B95" i="48"/>
  <c r="D151" i="48"/>
  <c r="D95" i="48"/>
  <c r="D99" i="48"/>
  <c r="I87" i="47"/>
  <c r="I87" i="48"/>
  <c r="I93" i="48" s="1"/>
  <c r="E151" i="47"/>
  <c r="E99" i="47"/>
  <c r="E95" i="47"/>
  <c r="B151" i="47"/>
  <c r="B99" i="47"/>
  <c r="B95" i="47"/>
  <c r="E151" i="48"/>
  <c r="E95" i="48"/>
  <c r="E99" i="48"/>
  <c r="C99" i="48"/>
  <c r="I42" i="47"/>
  <c r="I42" i="48"/>
  <c r="J41" i="47"/>
  <c r="J41" i="48"/>
  <c r="I41" i="47"/>
  <c r="I41" i="48"/>
  <c r="J40" i="47"/>
  <c r="J40" i="48"/>
  <c r="C40" i="47"/>
  <c r="C40" i="48"/>
  <c r="I40" i="47"/>
  <c r="I40" i="48"/>
  <c r="I38" i="47"/>
  <c r="I38" i="48"/>
  <c r="G38" i="47"/>
  <c r="G38" i="48"/>
  <c r="I36" i="47"/>
  <c r="I36" i="48"/>
  <c r="J36" i="47"/>
  <c r="J36" i="48"/>
  <c r="G35" i="48"/>
  <c r="G35" i="47"/>
  <c r="E35" i="48"/>
  <c r="E35" i="47"/>
  <c r="I35" i="48"/>
  <c r="I35" i="47"/>
  <c r="G34" i="47"/>
  <c r="C34" i="48"/>
  <c r="C34" i="47"/>
  <c r="B34" i="48"/>
  <c r="B34" i="47"/>
  <c r="K34" i="47"/>
  <c r="K34" i="48"/>
  <c r="D33" i="48"/>
  <c r="D33" i="47"/>
  <c r="I33" i="47"/>
  <c r="I33" i="48"/>
  <c r="D31" i="48"/>
  <c r="D31" i="47"/>
  <c r="J31" i="48"/>
  <c r="J31" i="47"/>
  <c r="E31" i="48"/>
  <c r="E31" i="47"/>
  <c r="C31" i="48"/>
  <c r="C31" i="47"/>
  <c r="I31" i="47"/>
  <c r="I31" i="48"/>
  <c r="J29" i="47"/>
  <c r="J29" i="48"/>
  <c r="I29" i="47"/>
  <c r="I29" i="48"/>
  <c r="J28" i="47"/>
  <c r="J28" i="48"/>
  <c r="E28" i="47"/>
  <c r="E28" i="48"/>
  <c r="D28" i="47"/>
  <c r="D28" i="48"/>
  <c r="I27" i="47"/>
  <c r="I27" i="48"/>
  <c r="J27" i="47"/>
  <c r="J27" i="48"/>
  <c r="B26" i="47"/>
  <c r="D97" i="6"/>
  <c r="C25" i="47" s="1"/>
  <c r="F97" i="6"/>
  <c r="D25" i="48"/>
  <c r="D25" i="47"/>
  <c r="B25" i="48"/>
  <c r="B25" i="47"/>
  <c r="E24" i="47"/>
  <c r="E24" i="48"/>
  <c r="D24" i="47"/>
  <c r="D24" i="48"/>
  <c r="G137" i="42"/>
  <c r="K137" i="42"/>
  <c r="L128" i="42"/>
  <c r="I240" i="48"/>
  <c r="I240" i="47"/>
  <c r="J240" i="48"/>
  <c r="J246" i="48" s="1"/>
  <c r="J240" i="47"/>
  <c r="C242" i="47"/>
  <c r="C264" i="47"/>
  <c r="C246" i="47"/>
  <c r="C242" i="48"/>
  <c r="C246" i="48"/>
  <c r="C264" i="48"/>
  <c r="J242" i="47"/>
  <c r="D264" i="47"/>
  <c r="D242" i="47"/>
  <c r="D246" i="47"/>
  <c r="D242" i="48"/>
  <c r="D264" i="48"/>
  <c r="D246" i="48"/>
  <c r="K229" i="47"/>
  <c r="K229" i="48"/>
  <c r="J242" i="48"/>
  <c r="J264" i="48"/>
  <c r="E264" i="47"/>
  <c r="E242" i="47"/>
  <c r="E246" i="47"/>
  <c r="E246" i="48"/>
  <c r="E242" i="48"/>
  <c r="E264" i="48"/>
  <c r="G240" i="48"/>
  <c r="G246" i="48" s="1"/>
  <c r="K226" i="48" s="1"/>
  <c r="G240" i="47"/>
  <c r="F240" i="47"/>
  <c r="F246" i="47" s="1"/>
  <c r="F240" i="48"/>
  <c r="F246" i="48" s="1"/>
  <c r="G242" i="48"/>
  <c r="F106" i="48"/>
  <c r="F145" i="48" s="1"/>
  <c r="G106" i="47"/>
  <c r="G145" i="47" s="1"/>
  <c r="G106" i="48"/>
  <c r="G145" i="48" s="1"/>
  <c r="G16" i="47"/>
  <c r="G142" i="47" s="1"/>
  <c r="G16" i="48"/>
  <c r="F16" i="47"/>
  <c r="F142" i="47" s="1"/>
  <c r="F146" i="47" s="1"/>
  <c r="F16" i="48"/>
  <c r="F142" i="48" s="1"/>
  <c r="E36" i="47"/>
  <c r="E36" i="48"/>
  <c r="F125" i="47"/>
  <c r="F125" i="48"/>
  <c r="F124" i="48"/>
  <c r="I124" i="47"/>
  <c r="I124" i="48"/>
  <c r="G124" i="47"/>
  <c r="F121" i="47"/>
  <c r="F121" i="48"/>
  <c r="B37" i="47"/>
  <c r="B37" i="48"/>
  <c r="J37" i="47"/>
  <c r="J37" i="48"/>
  <c r="I37" i="47"/>
  <c r="I37" i="48"/>
  <c r="E37" i="47"/>
  <c r="E37" i="48"/>
  <c r="C37" i="47"/>
  <c r="C37" i="48"/>
  <c r="D37" i="47"/>
  <c r="D37" i="48"/>
  <c r="G119" i="47"/>
  <c r="G119" i="48"/>
  <c r="F119" i="47"/>
  <c r="F119" i="48"/>
  <c r="G118" i="47"/>
  <c r="F118" i="47"/>
  <c r="F118" i="48"/>
  <c r="G116" i="47"/>
  <c r="G116" i="48"/>
  <c r="F116" i="47"/>
  <c r="F116" i="48"/>
  <c r="G115" i="47"/>
  <c r="G115" i="48"/>
  <c r="F115" i="47"/>
  <c r="F115" i="48"/>
  <c r="F114" i="47"/>
  <c r="F114" i="48"/>
  <c r="F113" i="47"/>
  <c r="F113" i="48"/>
  <c r="G110" i="47"/>
  <c r="G110" i="48"/>
  <c r="F110" i="47"/>
  <c r="F110" i="48"/>
  <c r="G88" i="47"/>
  <c r="G88" i="48"/>
  <c r="F88" i="47"/>
  <c r="F93" i="47" s="1"/>
  <c r="F151" i="47" s="1"/>
  <c r="F88" i="48"/>
  <c r="F87" i="48"/>
  <c r="G87" i="47"/>
  <c r="G87" i="48"/>
  <c r="G144" i="47"/>
  <c r="G80" i="47"/>
  <c r="F144" i="47"/>
  <c r="H140" i="25"/>
  <c r="G65" i="47"/>
  <c r="G71" i="47" s="1"/>
  <c r="K61" i="47" s="1"/>
  <c r="F65" i="47"/>
  <c r="F71" i="47" s="1"/>
  <c r="F65" i="48"/>
  <c r="F150" i="48" s="1"/>
  <c r="F143" i="48"/>
  <c r="G42" i="47"/>
  <c r="G42" i="48"/>
  <c r="F42" i="47"/>
  <c r="F42" i="48"/>
  <c r="G41" i="47"/>
  <c r="G41" i="48"/>
  <c r="F41" i="47"/>
  <c r="F41" i="48"/>
  <c r="G40" i="47"/>
  <c r="G40" i="48"/>
  <c r="F40" i="47"/>
  <c r="F40" i="48"/>
  <c r="F37" i="47"/>
  <c r="F37" i="48"/>
  <c r="G36" i="47"/>
  <c r="G36" i="48"/>
  <c r="F34" i="47"/>
  <c r="F34" i="48"/>
  <c r="G33" i="48"/>
  <c r="G33" i="47"/>
  <c r="F33" i="47"/>
  <c r="F33" i="48"/>
  <c r="G32" i="48"/>
  <c r="G32" i="47"/>
  <c r="F32" i="47"/>
  <c r="F32" i="48"/>
  <c r="G31" i="48"/>
  <c r="G31" i="47"/>
  <c r="F31" i="47"/>
  <c r="F31" i="48"/>
  <c r="G29" i="47"/>
  <c r="G29" i="48"/>
  <c r="F29" i="47"/>
  <c r="F29" i="48"/>
  <c r="G28" i="47"/>
  <c r="G28" i="48"/>
  <c r="I28" i="47"/>
  <c r="I28" i="48"/>
  <c r="G27" i="47"/>
  <c r="G27" i="48"/>
  <c r="F27" i="47"/>
  <c r="F27" i="48"/>
  <c r="G26" i="47"/>
  <c r="H97" i="7"/>
  <c r="G26" i="48" s="1"/>
  <c r="G97" i="7"/>
  <c r="F26" i="48" s="1"/>
  <c r="I120" i="47"/>
  <c r="I120" i="48"/>
  <c r="I110" i="47"/>
  <c r="I110" i="48"/>
  <c r="L96" i="29"/>
  <c r="L238" i="2"/>
  <c r="L114" i="33"/>
  <c r="K115" i="49" s="1"/>
  <c r="L134" i="25"/>
  <c r="L138" i="25" s="1"/>
  <c r="L40" i="6"/>
  <c r="L104" i="34"/>
  <c r="L89" i="32"/>
  <c r="L90" i="22"/>
  <c r="L73" i="19"/>
  <c r="L92" i="40"/>
  <c r="K124" i="49" s="1"/>
  <c r="F80" i="47"/>
  <c r="G97" i="6"/>
  <c r="G73" i="4"/>
  <c r="H116" i="5"/>
  <c r="G116" i="5"/>
  <c r="D116" i="5"/>
  <c r="C116" i="5"/>
  <c r="G84" i="24"/>
  <c r="F84" i="24"/>
  <c r="H84" i="24"/>
  <c r="L112" i="5"/>
  <c r="L101" i="5"/>
  <c r="J116" i="5"/>
  <c r="L81" i="5"/>
  <c r="K116" i="5"/>
  <c r="L68" i="5"/>
  <c r="L44" i="5"/>
  <c r="L108" i="28"/>
  <c r="K88" i="49" s="1"/>
  <c r="K93" i="49" s="1"/>
  <c r="K151" i="49" s="1"/>
  <c r="L117" i="27"/>
  <c r="L89" i="41"/>
  <c r="K125" i="49" s="1"/>
  <c r="L97" i="39"/>
  <c r="L96" i="38"/>
  <c r="K120" i="49" s="1"/>
  <c r="L97" i="36"/>
  <c r="K118" i="49" s="1"/>
  <c r="L98" i="35"/>
  <c r="K116" i="49" s="1"/>
  <c r="L115" i="18"/>
  <c r="I144" i="47"/>
  <c r="K78" i="47"/>
  <c r="J140" i="25"/>
  <c r="I67" i="47"/>
  <c r="K65" i="47"/>
  <c r="K150" i="47" s="1"/>
  <c r="J150" i="47"/>
  <c r="L47" i="21"/>
  <c r="L49" i="17"/>
  <c r="L84" i="24"/>
  <c r="K167" i="47"/>
  <c r="K169" i="47" s="1"/>
  <c r="K84" i="24"/>
  <c r="J167" i="47"/>
  <c r="J84" i="24"/>
  <c r="I167" i="47"/>
  <c r="I173" i="47" s="1"/>
  <c r="C169" i="47"/>
  <c r="L60" i="4"/>
  <c r="F73" i="4"/>
  <c r="K73" i="4"/>
  <c r="L69" i="4"/>
  <c r="E73" i="4"/>
  <c r="J73" i="4"/>
  <c r="L41" i="4"/>
  <c r="L51" i="4"/>
  <c r="D73" i="4"/>
  <c r="H73" i="4"/>
  <c r="C73" i="4"/>
  <c r="L112" i="10"/>
  <c r="J137" i="42"/>
  <c r="L132" i="42"/>
  <c r="I26" i="47"/>
  <c r="J26" i="47"/>
  <c r="L57" i="7"/>
  <c r="L84" i="7"/>
  <c r="E26" i="47"/>
  <c r="L69" i="7"/>
  <c r="D26" i="47"/>
  <c r="L93" i="7"/>
  <c r="L95" i="11"/>
  <c r="K30" i="47" s="1"/>
  <c r="L96" i="20"/>
  <c r="L104" i="30"/>
  <c r="L77" i="9"/>
  <c r="K28" i="49" s="1"/>
  <c r="L93" i="6"/>
  <c r="J97" i="6"/>
  <c r="L71" i="6"/>
  <c r="L84" i="6"/>
  <c r="K97" i="6"/>
  <c r="L60" i="6"/>
  <c r="L91" i="8"/>
  <c r="L94" i="14"/>
  <c r="L170" i="12"/>
  <c r="K31" i="49" s="1"/>
  <c r="L65" i="16"/>
  <c r="H97" i="6"/>
  <c r="L105" i="37"/>
  <c r="K119" i="49" s="1"/>
  <c r="L33" i="7"/>
  <c r="C112" i="3"/>
  <c r="L77" i="3"/>
  <c r="L95" i="3"/>
  <c r="K112" i="3"/>
  <c r="L108" i="3"/>
  <c r="L64" i="3"/>
  <c r="L40" i="3"/>
  <c r="E112" i="3"/>
  <c r="J112" i="3"/>
  <c r="D112" i="3"/>
  <c r="F112" i="3"/>
  <c r="G112" i="3"/>
  <c r="H112" i="3"/>
  <c r="K37" i="49" l="1"/>
  <c r="K187" i="50"/>
  <c r="K37" i="50"/>
  <c r="K337" i="50"/>
  <c r="K42" i="49"/>
  <c r="K192" i="50"/>
  <c r="K42" i="50"/>
  <c r="K342" i="50"/>
  <c r="K190" i="50"/>
  <c r="K40" i="50"/>
  <c r="K340" i="50"/>
  <c r="K40" i="49"/>
  <c r="K121" i="49"/>
  <c r="K121" i="50"/>
  <c r="K421" i="50"/>
  <c r="K271" i="50"/>
  <c r="K114" i="49"/>
  <c r="K114" i="50"/>
  <c r="K132" i="50" s="1"/>
  <c r="K264" i="50"/>
  <c r="K282" i="50" s="1"/>
  <c r="K414" i="50"/>
  <c r="K432" i="50" s="1"/>
  <c r="I152" i="50"/>
  <c r="I134" i="50"/>
  <c r="I452" i="50"/>
  <c r="I434" i="50"/>
  <c r="I302" i="50"/>
  <c r="I284" i="50"/>
  <c r="K183" i="50"/>
  <c r="K33" i="49"/>
  <c r="K33" i="50"/>
  <c r="K333" i="50"/>
  <c r="C25" i="48"/>
  <c r="E25" i="50"/>
  <c r="E50" i="50" s="1"/>
  <c r="E175" i="50"/>
  <c r="E200" i="50" s="1"/>
  <c r="E325" i="50"/>
  <c r="E350" i="50" s="1"/>
  <c r="E25" i="49"/>
  <c r="E50" i="49" s="1"/>
  <c r="I25" i="49"/>
  <c r="I325" i="50"/>
  <c r="I25" i="50"/>
  <c r="I175" i="50"/>
  <c r="G325" i="50"/>
  <c r="G350" i="50" s="1"/>
  <c r="G25" i="50"/>
  <c r="G50" i="50" s="1"/>
  <c r="G25" i="49"/>
  <c r="G175" i="50"/>
  <c r="G200" i="50" s="1"/>
  <c r="F175" i="50"/>
  <c r="F200" i="50" s="1"/>
  <c r="F25" i="49"/>
  <c r="F50" i="49" s="1"/>
  <c r="F325" i="50"/>
  <c r="F350" i="50" s="1"/>
  <c r="F25" i="50"/>
  <c r="F50" i="50" s="1"/>
  <c r="B175" i="50"/>
  <c r="B200" i="50" s="1"/>
  <c r="B25" i="49"/>
  <c r="B50" i="49" s="1"/>
  <c r="B25" i="50"/>
  <c r="B50" i="50" s="1"/>
  <c r="B325" i="50"/>
  <c r="B350" i="50" s="1"/>
  <c r="C175" i="50"/>
  <c r="C200" i="50" s="1"/>
  <c r="C25" i="50"/>
  <c r="C50" i="50" s="1"/>
  <c r="C325" i="50"/>
  <c r="C350" i="50" s="1"/>
  <c r="C25" i="49"/>
  <c r="C50" i="49" s="1"/>
  <c r="E25" i="47"/>
  <c r="D175" i="50"/>
  <c r="D200" i="50" s="1"/>
  <c r="D25" i="49"/>
  <c r="D50" i="49" s="1"/>
  <c r="D25" i="50"/>
  <c r="D50" i="50" s="1"/>
  <c r="D325" i="50"/>
  <c r="D350" i="50" s="1"/>
  <c r="J175" i="50"/>
  <c r="J25" i="50"/>
  <c r="J325" i="50"/>
  <c r="J25" i="49"/>
  <c r="E25" i="48"/>
  <c r="I24" i="50"/>
  <c r="I324" i="50"/>
  <c r="I24" i="49"/>
  <c r="I174" i="50"/>
  <c r="K166" i="50"/>
  <c r="K292" i="50" s="1"/>
  <c r="K16" i="50"/>
  <c r="K142" i="50" s="1"/>
  <c r="K146" i="50" s="1"/>
  <c r="K316" i="50"/>
  <c r="K442" i="50" s="1"/>
  <c r="K446" i="50"/>
  <c r="I217" i="50"/>
  <c r="I71" i="47"/>
  <c r="K71" i="47" s="1"/>
  <c r="I71" i="49"/>
  <c r="I367" i="50"/>
  <c r="G67" i="47"/>
  <c r="I67" i="49"/>
  <c r="G367" i="50"/>
  <c r="J217" i="50"/>
  <c r="J367" i="50"/>
  <c r="F71" i="49"/>
  <c r="L140" i="25"/>
  <c r="K65" i="48"/>
  <c r="K150" i="48" s="1"/>
  <c r="K215" i="50"/>
  <c r="K300" i="50" s="1"/>
  <c r="K365" i="50"/>
  <c r="K65" i="49"/>
  <c r="K150" i="49" s="1"/>
  <c r="G67" i="48"/>
  <c r="I71" i="48"/>
  <c r="K71" i="48" s="1"/>
  <c r="G217" i="50"/>
  <c r="F367" i="50"/>
  <c r="K293" i="50"/>
  <c r="K296" i="50" s="1"/>
  <c r="G71" i="48"/>
  <c r="K61" i="48" s="1"/>
  <c r="C146" i="49"/>
  <c r="J71" i="49"/>
  <c r="G67" i="49"/>
  <c r="F67" i="49"/>
  <c r="I67" i="48"/>
  <c r="J67" i="49"/>
  <c r="I67" i="50"/>
  <c r="J23" i="50"/>
  <c r="J50" i="50" s="1"/>
  <c r="J23" i="49"/>
  <c r="J50" i="49" s="1"/>
  <c r="J265" i="49" s="1"/>
  <c r="J323" i="50"/>
  <c r="J173" i="50"/>
  <c r="J200" i="50" s="1"/>
  <c r="I173" i="50"/>
  <c r="I23" i="50"/>
  <c r="I23" i="49"/>
  <c r="I323" i="50"/>
  <c r="J173" i="49"/>
  <c r="J169" i="49"/>
  <c r="J169" i="47"/>
  <c r="J173" i="47"/>
  <c r="J173" i="48"/>
  <c r="J169" i="48"/>
  <c r="I169" i="49"/>
  <c r="I173" i="49"/>
  <c r="I169" i="48"/>
  <c r="I173" i="48"/>
  <c r="K173" i="48"/>
  <c r="K169" i="48"/>
  <c r="K169" i="49"/>
  <c r="K173" i="49"/>
  <c r="K173" i="47"/>
  <c r="I264" i="49"/>
  <c r="J264" i="47"/>
  <c r="J264" i="49"/>
  <c r="J142" i="49"/>
  <c r="J146" i="49" s="1"/>
  <c r="K16" i="47"/>
  <c r="K142" i="47" s="1"/>
  <c r="K16" i="48"/>
  <c r="K142" i="48" s="1"/>
  <c r="K16" i="49"/>
  <c r="K142" i="49" s="1"/>
  <c r="I264" i="47"/>
  <c r="I146" i="47"/>
  <c r="I264" i="48"/>
  <c r="K106" i="47"/>
  <c r="K145" i="47" s="1"/>
  <c r="K106" i="48"/>
  <c r="K145" i="48" s="1"/>
  <c r="K106" i="49"/>
  <c r="K145" i="49" s="1"/>
  <c r="C95" i="48"/>
  <c r="F152" i="49"/>
  <c r="B152" i="47"/>
  <c r="B134" i="47"/>
  <c r="J138" i="49"/>
  <c r="L97" i="7"/>
  <c r="K67" i="49"/>
  <c r="K143" i="49"/>
  <c r="I146" i="48"/>
  <c r="I146" i="49"/>
  <c r="K143" i="48"/>
  <c r="K26" i="48"/>
  <c r="K26" i="49"/>
  <c r="K144" i="49"/>
  <c r="K80" i="49"/>
  <c r="K95" i="49"/>
  <c r="K99" i="49"/>
  <c r="K80" i="48"/>
  <c r="K144" i="48"/>
  <c r="I134" i="49"/>
  <c r="I152" i="49"/>
  <c r="K132" i="49"/>
  <c r="K152" i="49" s="1"/>
  <c r="K242" i="49"/>
  <c r="K125" i="47"/>
  <c r="K125" i="48"/>
  <c r="K121" i="47"/>
  <c r="K121" i="48"/>
  <c r="K119" i="47"/>
  <c r="K119" i="48"/>
  <c r="K118" i="47"/>
  <c r="K118" i="48"/>
  <c r="D138" i="48"/>
  <c r="D152" i="48"/>
  <c r="K116" i="47"/>
  <c r="K116" i="48"/>
  <c r="J132" i="48"/>
  <c r="J138" i="48" s="1"/>
  <c r="J132" i="47"/>
  <c r="J134" i="47" s="1"/>
  <c r="K115" i="47"/>
  <c r="K115" i="48"/>
  <c r="K114" i="47"/>
  <c r="K114" i="48"/>
  <c r="K113" i="47"/>
  <c r="K113" i="48"/>
  <c r="E134" i="48"/>
  <c r="E138" i="48"/>
  <c r="B152" i="48"/>
  <c r="C138" i="47"/>
  <c r="C152" i="47"/>
  <c r="C134" i="47"/>
  <c r="B138" i="48"/>
  <c r="E138" i="47"/>
  <c r="C138" i="48"/>
  <c r="J134" i="48"/>
  <c r="G132" i="47"/>
  <c r="G152" i="47" s="1"/>
  <c r="C152" i="48"/>
  <c r="E152" i="47"/>
  <c r="D152" i="47"/>
  <c r="D134" i="47"/>
  <c r="I132" i="47"/>
  <c r="I138" i="47" s="1"/>
  <c r="C95" i="47"/>
  <c r="C99" i="47"/>
  <c r="G93" i="47"/>
  <c r="G99" i="47" s="1"/>
  <c r="K76" i="47" s="1"/>
  <c r="I93" i="47"/>
  <c r="I99" i="47" s="1"/>
  <c r="J93" i="48"/>
  <c r="J95" i="48" s="1"/>
  <c r="K88" i="47"/>
  <c r="K93" i="47" s="1"/>
  <c r="K95" i="47" s="1"/>
  <c r="K88" i="48"/>
  <c r="J151" i="47"/>
  <c r="J99" i="47"/>
  <c r="K87" i="47"/>
  <c r="K87" i="48"/>
  <c r="I151" i="48"/>
  <c r="I99" i="48"/>
  <c r="I95" i="48"/>
  <c r="K42" i="47"/>
  <c r="K42" i="48"/>
  <c r="K41" i="47"/>
  <c r="K41" i="48"/>
  <c r="K40" i="47"/>
  <c r="K40" i="48"/>
  <c r="K38" i="47"/>
  <c r="K38" i="48"/>
  <c r="K36" i="47"/>
  <c r="K36" i="48"/>
  <c r="K35" i="48"/>
  <c r="K35" i="47"/>
  <c r="K33" i="47"/>
  <c r="K33" i="48"/>
  <c r="K31" i="47"/>
  <c r="K31" i="48"/>
  <c r="K29" i="47"/>
  <c r="K29" i="48"/>
  <c r="K28" i="47"/>
  <c r="K28" i="48"/>
  <c r="K27" i="47"/>
  <c r="K27" i="48"/>
  <c r="F26" i="47"/>
  <c r="I25" i="47"/>
  <c r="I25" i="48"/>
  <c r="J25" i="47"/>
  <c r="J25" i="48"/>
  <c r="C24" i="47"/>
  <c r="C24" i="48"/>
  <c r="I24" i="47"/>
  <c r="I24" i="48"/>
  <c r="J24" i="47"/>
  <c r="J24" i="48"/>
  <c r="B24" i="47"/>
  <c r="B24" i="48"/>
  <c r="J23" i="47"/>
  <c r="J23" i="48"/>
  <c r="I23" i="47"/>
  <c r="I23" i="48"/>
  <c r="B23" i="47"/>
  <c r="B23" i="48"/>
  <c r="C23" i="47"/>
  <c r="C23" i="48"/>
  <c r="D23" i="47"/>
  <c r="D23" i="48"/>
  <c r="B22" i="48"/>
  <c r="B22" i="47"/>
  <c r="D22" i="48"/>
  <c r="D22" i="47"/>
  <c r="D50" i="47" s="1"/>
  <c r="E22" i="48"/>
  <c r="E22" i="47"/>
  <c r="I22" i="47"/>
  <c r="I22" i="48"/>
  <c r="J22" i="47"/>
  <c r="J50" i="47" s="1"/>
  <c r="J22" i="48"/>
  <c r="C22" i="48"/>
  <c r="C22" i="47"/>
  <c r="J246" i="47"/>
  <c r="F242" i="48"/>
  <c r="L137" i="42"/>
  <c r="K240" i="48"/>
  <c r="K242" i="48" s="1"/>
  <c r="K240" i="47"/>
  <c r="K242" i="47" s="1"/>
  <c r="I242" i="47"/>
  <c r="I246" i="47"/>
  <c r="K246" i="47" s="1"/>
  <c r="I246" i="48"/>
  <c r="K246" i="48" s="1"/>
  <c r="I242" i="48"/>
  <c r="G242" i="47"/>
  <c r="G246" i="47"/>
  <c r="K226" i="47" s="1"/>
  <c r="F242" i="47"/>
  <c r="G146" i="47"/>
  <c r="G264" i="47"/>
  <c r="G142" i="48"/>
  <c r="G146" i="48" s="1"/>
  <c r="G264" i="48"/>
  <c r="F264" i="47"/>
  <c r="F146" i="48"/>
  <c r="F264" i="48"/>
  <c r="E23" i="47"/>
  <c r="E23" i="48"/>
  <c r="I132" i="48"/>
  <c r="I134" i="48" s="1"/>
  <c r="K124" i="47"/>
  <c r="K124" i="48"/>
  <c r="K37" i="47"/>
  <c r="K37" i="48"/>
  <c r="G132" i="48"/>
  <c r="G138" i="48" s="1"/>
  <c r="K104" i="48" s="1"/>
  <c r="F132" i="48"/>
  <c r="F138" i="48" s="1"/>
  <c r="F132" i="47"/>
  <c r="F152" i="47" s="1"/>
  <c r="G93" i="48"/>
  <c r="G95" i="48" s="1"/>
  <c r="F93" i="48"/>
  <c r="F151" i="48" s="1"/>
  <c r="F95" i="47"/>
  <c r="F99" i="47"/>
  <c r="G150" i="47"/>
  <c r="F71" i="48"/>
  <c r="F67" i="48"/>
  <c r="F150" i="47"/>
  <c r="F67" i="47"/>
  <c r="G25" i="47"/>
  <c r="G25" i="48"/>
  <c r="F25" i="47"/>
  <c r="F25" i="48"/>
  <c r="G24" i="47"/>
  <c r="G24" i="48"/>
  <c r="F24" i="47"/>
  <c r="F24" i="48"/>
  <c r="G23" i="47"/>
  <c r="G23" i="48"/>
  <c r="F23" i="47"/>
  <c r="F23" i="48"/>
  <c r="G22" i="48"/>
  <c r="G22" i="47"/>
  <c r="F22" i="47"/>
  <c r="F22" i="48"/>
  <c r="K120" i="47"/>
  <c r="K120" i="48"/>
  <c r="K110" i="47"/>
  <c r="K110" i="48"/>
  <c r="I151" i="47"/>
  <c r="B50" i="47"/>
  <c r="B56" i="47" s="1"/>
  <c r="L116" i="5"/>
  <c r="J95" i="47"/>
  <c r="K144" i="47"/>
  <c r="K80" i="47"/>
  <c r="K67" i="47"/>
  <c r="I169" i="47"/>
  <c r="L73" i="4"/>
  <c r="K26" i="47"/>
  <c r="L97" i="6"/>
  <c r="L112" i="3"/>
  <c r="K452" i="50" l="1"/>
  <c r="K434" i="50"/>
  <c r="K302" i="50"/>
  <c r="K284" i="50"/>
  <c r="K152" i="50"/>
  <c r="K134" i="50"/>
  <c r="F56" i="49"/>
  <c r="F149" i="49"/>
  <c r="F153" i="49" s="1"/>
  <c r="F155" i="49" s="1"/>
  <c r="F52" i="49"/>
  <c r="F268" i="49" s="1"/>
  <c r="F265" i="49"/>
  <c r="F266" i="49" s="1"/>
  <c r="C299" i="50"/>
  <c r="C303" i="50" s="1"/>
  <c r="C305" i="50" s="1"/>
  <c r="C202" i="50"/>
  <c r="G299" i="50"/>
  <c r="G303" i="50" s="1"/>
  <c r="G305" i="50" s="1"/>
  <c r="G202" i="50"/>
  <c r="C149" i="49"/>
  <c r="C153" i="49" s="1"/>
  <c r="C155" i="49" s="1"/>
  <c r="C52" i="49"/>
  <c r="C268" i="49" s="1"/>
  <c r="C56" i="49"/>
  <c r="C265" i="49"/>
  <c r="C266" i="49" s="1"/>
  <c r="G149" i="50"/>
  <c r="G153" i="50" s="1"/>
  <c r="G155" i="50" s="1"/>
  <c r="G52" i="50"/>
  <c r="D52" i="49"/>
  <c r="D268" i="49" s="1"/>
  <c r="D149" i="49"/>
  <c r="D153" i="49" s="1"/>
  <c r="D155" i="49" s="1"/>
  <c r="D56" i="49"/>
  <c r="D265" i="49"/>
  <c r="D266" i="49" s="1"/>
  <c r="G449" i="50"/>
  <c r="G453" i="50" s="1"/>
  <c r="G455" i="50" s="1"/>
  <c r="G352" i="50"/>
  <c r="D202" i="50"/>
  <c r="D299" i="50"/>
  <c r="D303" i="50" s="1"/>
  <c r="D305" i="50" s="1"/>
  <c r="B449" i="50"/>
  <c r="B453" i="50" s="1"/>
  <c r="B455" i="50" s="1"/>
  <c r="B352" i="50"/>
  <c r="J350" i="50"/>
  <c r="J449" i="50" s="1"/>
  <c r="J453" i="50" s="1"/>
  <c r="J455" i="50" s="1"/>
  <c r="F449" i="50"/>
  <c r="F453" i="50" s="1"/>
  <c r="F455" i="50" s="1"/>
  <c r="F352" i="50"/>
  <c r="C449" i="50"/>
  <c r="C453" i="50" s="1"/>
  <c r="C455" i="50" s="1"/>
  <c r="C352" i="50"/>
  <c r="E52" i="49"/>
  <c r="E268" i="49" s="1"/>
  <c r="E265" i="49"/>
  <c r="E266" i="49" s="1"/>
  <c r="E56" i="49"/>
  <c r="E149" i="49"/>
  <c r="E153" i="49" s="1"/>
  <c r="E155" i="49" s="1"/>
  <c r="E449" i="50"/>
  <c r="E453" i="50" s="1"/>
  <c r="E455" i="50" s="1"/>
  <c r="E352" i="50"/>
  <c r="F149" i="50"/>
  <c r="F153" i="50" s="1"/>
  <c r="F155" i="50" s="1"/>
  <c r="F52" i="50"/>
  <c r="D449" i="50"/>
  <c r="D453" i="50" s="1"/>
  <c r="D455" i="50" s="1"/>
  <c r="D352" i="50"/>
  <c r="B149" i="50"/>
  <c r="B153" i="50" s="1"/>
  <c r="B155" i="50" s="1"/>
  <c r="B52" i="50"/>
  <c r="B52" i="49"/>
  <c r="B268" i="49" s="1"/>
  <c r="B56" i="49"/>
  <c r="B265" i="49"/>
  <c r="B266" i="49" s="1"/>
  <c r="B149" i="49"/>
  <c r="B153" i="49" s="1"/>
  <c r="B155" i="49" s="1"/>
  <c r="B299" i="50"/>
  <c r="B303" i="50" s="1"/>
  <c r="B305" i="50" s="1"/>
  <c r="B202" i="50"/>
  <c r="E202" i="50"/>
  <c r="E299" i="50"/>
  <c r="E303" i="50" s="1"/>
  <c r="E305" i="50" s="1"/>
  <c r="F299" i="50"/>
  <c r="F303" i="50" s="1"/>
  <c r="F305" i="50" s="1"/>
  <c r="F202" i="50"/>
  <c r="C52" i="50"/>
  <c r="C149" i="50"/>
  <c r="C153" i="50" s="1"/>
  <c r="C155" i="50" s="1"/>
  <c r="D52" i="50"/>
  <c r="D149" i="50"/>
  <c r="D153" i="50" s="1"/>
  <c r="D155" i="50" s="1"/>
  <c r="K25" i="49"/>
  <c r="K175" i="50"/>
  <c r="K325" i="50"/>
  <c r="K25" i="50"/>
  <c r="E50" i="47"/>
  <c r="E149" i="47" s="1"/>
  <c r="E153" i="47" s="1"/>
  <c r="E155" i="47" s="1"/>
  <c r="E52" i="50"/>
  <c r="E149" i="50"/>
  <c r="E153" i="50" s="1"/>
  <c r="E155" i="50" s="1"/>
  <c r="I350" i="50"/>
  <c r="I449" i="50" s="1"/>
  <c r="I453" i="50" s="1"/>
  <c r="I455" i="50" s="1"/>
  <c r="I50" i="50"/>
  <c r="I149" i="50" s="1"/>
  <c r="I153" i="50" s="1"/>
  <c r="I155" i="50" s="1"/>
  <c r="I50" i="49"/>
  <c r="I149" i="49" s="1"/>
  <c r="I153" i="49" s="1"/>
  <c r="I155" i="49" s="1"/>
  <c r="K24" i="50"/>
  <c r="K324" i="50"/>
  <c r="K174" i="50"/>
  <c r="K24" i="49"/>
  <c r="I200" i="50"/>
  <c r="I202" i="50" s="1"/>
  <c r="K67" i="48"/>
  <c r="K217" i="50"/>
  <c r="K150" i="50"/>
  <c r="K67" i="50"/>
  <c r="K71" i="49"/>
  <c r="K450" i="50"/>
  <c r="K367" i="50"/>
  <c r="J352" i="50"/>
  <c r="J52" i="49"/>
  <c r="J268" i="49" s="1"/>
  <c r="J56" i="49"/>
  <c r="J149" i="49"/>
  <c r="J153" i="49" s="1"/>
  <c r="J155" i="49" s="1"/>
  <c r="J299" i="50"/>
  <c r="J303" i="50" s="1"/>
  <c r="J305" i="50" s="1"/>
  <c r="J202" i="50"/>
  <c r="J149" i="50"/>
  <c r="J153" i="50" s="1"/>
  <c r="J155" i="50" s="1"/>
  <c r="J52" i="50"/>
  <c r="K323" i="50"/>
  <c r="K173" i="50"/>
  <c r="K23" i="49"/>
  <c r="K23" i="50"/>
  <c r="G151" i="47"/>
  <c r="K146" i="49"/>
  <c r="K264" i="47"/>
  <c r="K146" i="47"/>
  <c r="J266" i="49"/>
  <c r="K146" i="48"/>
  <c r="K264" i="48"/>
  <c r="K264" i="49"/>
  <c r="J99" i="48"/>
  <c r="J151" i="48"/>
  <c r="K138" i="49"/>
  <c r="K134" i="49"/>
  <c r="J152" i="47"/>
  <c r="J152" i="48"/>
  <c r="J138" i="47"/>
  <c r="J265" i="47"/>
  <c r="J266" i="47" s="1"/>
  <c r="G138" i="47"/>
  <c r="K104" i="47" s="1"/>
  <c r="I138" i="48"/>
  <c r="I152" i="47"/>
  <c r="I134" i="47"/>
  <c r="I152" i="48"/>
  <c r="I95" i="47"/>
  <c r="G95" i="47"/>
  <c r="K93" i="48"/>
  <c r="K151" i="48" s="1"/>
  <c r="K25" i="47"/>
  <c r="K25" i="48"/>
  <c r="K24" i="47"/>
  <c r="K24" i="48"/>
  <c r="J50" i="48"/>
  <c r="J149" i="48" s="1"/>
  <c r="B50" i="48"/>
  <c r="B265" i="48" s="1"/>
  <c r="B266" i="48" s="1"/>
  <c r="C50" i="47"/>
  <c r="C56" i="47" s="1"/>
  <c r="I50" i="48"/>
  <c r="I149" i="48" s="1"/>
  <c r="K23" i="47"/>
  <c r="K23" i="48"/>
  <c r="C50" i="48"/>
  <c r="C149" i="48" s="1"/>
  <c r="C153" i="48" s="1"/>
  <c r="C155" i="48" s="1"/>
  <c r="I50" i="47"/>
  <c r="I56" i="47" s="1"/>
  <c r="D50" i="48"/>
  <c r="D56" i="48" s="1"/>
  <c r="E50" i="48"/>
  <c r="E265" i="48" s="1"/>
  <c r="E266" i="48" s="1"/>
  <c r="B265" i="47"/>
  <c r="B266" i="47" s="1"/>
  <c r="K22" i="47"/>
  <c r="K22" i="48"/>
  <c r="K132" i="47"/>
  <c r="K134" i="47" s="1"/>
  <c r="G152" i="48"/>
  <c r="B52" i="47"/>
  <c r="B268" i="47" s="1"/>
  <c r="F152" i="48"/>
  <c r="F134" i="48"/>
  <c r="F138" i="47"/>
  <c r="F134" i="47"/>
  <c r="G151" i="48"/>
  <c r="F99" i="48"/>
  <c r="F95" i="48"/>
  <c r="G99" i="48"/>
  <c r="K76" i="48" s="1"/>
  <c r="K99" i="48" s="1"/>
  <c r="F50" i="48"/>
  <c r="F52" i="48" s="1"/>
  <c r="F50" i="47"/>
  <c r="F265" i="47" s="1"/>
  <c r="F266" i="47" s="1"/>
  <c r="K132" i="48"/>
  <c r="D52" i="47"/>
  <c r="D268" i="47" s="1"/>
  <c r="D265" i="47"/>
  <c r="D266" i="47" s="1"/>
  <c r="K151" i="47"/>
  <c r="K99" i="47"/>
  <c r="J56" i="47"/>
  <c r="B149" i="47"/>
  <c r="B153" i="47" s="1"/>
  <c r="B155" i="47" s="1"/>
  <c r="D149" i="47"/>
  <c r="D153" i="47" s="1"/>
  <c r="D155" i="47" s="1"/>
  <c r="D56" i="47"/>
  <c r="J52" i="47"/>
  <c r="J268" i="47" s="1"/>
  <c r="J149" i="47"/>
  <c r="J153" i="47" s="1"/>
  <c r="J155" i="47" s="1"/>
  <c r="E265" i="47" l="1"/>
  <c r="E266" i="47" s="1"/>
  <c r="E52" i="47"/>
  <c r="E268" i="47" s="1"/>
  <c r="I52" i="50"/>
  <c r="E56" i="47"/>
  <c r="K50" i="48"/>
  <c r="K149" i="48" s="1"/>
  <c r="K50" i="50"/>
  <c r="K52" i="50" s="1"/>
  <c r="K200" i="50"/>
  <c r="K202" i="50" s="1"/>
  <c r="I52" i="49"/>
  <c r="I268" i="49" s="1"/>
  <c r="K50" i="49"/>
  <c r="K149" i="49" s="1"/>
  <c r="K153" i="49" s="1"/>
  <c r="K155" i="49" s="1"/>
  <c r="K350" i="50"/>
  <c r="K352" i="50" s="1"/>
  <c r="I265" i="49"/>
  <c r="I266" i="49" s="1"/>
  <c r="I56" i="49"/>
  <c r="I352" i="50"/>
  <c r="I299" i="50"/>
  <c r="I303" i="50" s="1"/>
  <c r="I305" i="50" s="1"/>
  <c r="K152" i="47"/>
  <c r="J153" i="48"/>
  <c r="J155" i="48" s="1"/>
  <c r="K138" i="47"/>
  <c r="I153" i="48"/>
  <c r="I155" i="48" s="1"/>
  <c r="K95" i="48"/>
  <c r="C52" i="48"/>
  <c r="C268" i="48" s="1"/>
  <c r="I52" i="47"/>
  <c r="I268" i="47" s="1"/>
  <c r="C149" i="47"/>
  <c r="C153" i="47" s="1"/>
  <c r="C155" i="47" s="1"/>
  <c r="C265" i="47"/>
  <c r="C266" i="47" s="1"/>
  <c r="C265" i="48"/>
  <c r="C266" i="48" s="1"/>
  <c r="C56" i="48"/>
  <c r="C52" i="47"/>
  <c r="C268" i="47" s="1"/>
  <c r="I265" i="47"/>
  <c r="I266" i="47" s="1"/>
  <c r="J56" i="48"/>
  <c r="B56" i="48"/>
  <c r="D265" i="48"/>
  <c r="D266" i="48" s="1"/>
  <c r="J52" i="48"/>
  <c r="J268" i="48" s="1"/>
  <c r="D52" i="48"/>
  <c r="D268" i="48" s="1"/>
  <c r="J265" i="48"/>
  <c r="J266" i="48" s="1"/>
  <c r="B149" i="48"/>
  <c r="B153" i="48" s="1"/>
  <c r="B155" i="48" s="1"/>
  <c r="B52" i="48"/>
  <c r="B268" i="48" s="1"/>
  <c r="I149" i="47"/>
  <c r="I153" i="47" s="1"/>
  <c r="I155" i="47" s="1"/>
  <c r="I52" i="48"/>
  <c r="I268" i="48" s="1"/>
  <c r="I56" i="48"/>
  <c r="I265" i="48"/>
  <c r="I266" i="48" s="1"/>
  <c r="K50" i="47"/>
  <c r="D149" i="48"/>
  <c r="D153" i="48" s="1"/>
  <c r="D155" i="48" s="1"/>
  <c r="E56" i="48"/>
  <c r="E52" i="48"/>
  <c r="E268" i="48" s="1"/>
  <c r="E149" i="48"/>
  <c r="E153" i="48" s="1"/>
  <c r="E155" i="48" s="1"/>
  <c r="K138" i="48"/>
  <c r="K134" i="48"/>
  <c r="K152" i="48"/>
  <c r="F268" i="48"/>
  <c r="F265" i="48"/>
  <c r="F266" i="48" s="1"/>
  <c r="F149" i="48"/>
  <c r="F153" i="48" s="1"/>
  <c r="F155" i="48" s="1"/>
  <c r="F52" i="47"/>
  <c r="F268" i="47" s="1"/>
  <c r="F56" i="47"/>
  <c r="F149" i="47"/>
  <c r="F153" i="47" s="1"/>
  <c r="F155" i="47" s="1"/>
  <c r="F56" i="48"/>
  <c r="H42" i="18"/>
  <c r="H115" i="18" s="1"/>
  <c r="G37" i="49" s="1"/>
  <c r="G50" i="49" s="1"/>
  <c r="K299" i="50" l="1"/>
  <c r="K303" i="50" s="1"/>
  <c r="K305" i="50" s="1"/>
  <c r="K153" i="48"/>
  <c r="K155" i="48" s="1"/>
  <c r="K52" i="48"/>
  <c r="K268" i="48" s="1"/>
  <c r="K265" i="48"/>
  <c r="K266" i="48" s="1"/>
  <c r="K449" i="50"/>
  <c r="K453" i="50" s="1"/>
  <c r="K455" i="50" s="1"/>
  <c r="K149" i="50"/>
  <c r="K153" i="50" s="1"/>
  <c r="K155" i="50" s="1"/>
  <c r="K265" i="49"/>
  <c r="K266" i="49" s="1"/>
  <c r="K52" i="49"/>
  <c r="K268" i="49" s="1"/>
  <c r="K265" i="47"/>
  <c r="K266" i="47" s="1"/>
  <c r="K52" i="47"/>
  <c r="K268" i="47" s="1"/>
  <c r="G265" i="49"/>
  <c r="G266" i="49" s="1"/>
  <c r="G149" i="49"/>
  <c r="G153" i="49" s="1"/>
  <c r="G155" i="49" s="1"/>
  <c r="G52" i="49"/>
  <c r="G268" i="49" s="1"/>
  <c r="G56" i="49"/>
  <c r="K14" i="49" s="1"/>
  <c r="K56" i="49" s="1"/>
  <c r="K149" i="47"/>
  <c r="K153" i="47" s="1"/>
  <c r="K155" i="47" s="1"/>
  <c r="G37" i="47"/>
  <c r="G50" i="47" s="1"/>
  <c r="G52" i="47" s="1"/>
  <c r="G268" i="47" s="1"/>
  <c r="G37" i="48"/>
  <c r="G50" i="48" s="1"/>
  <c r="G149" i="47" l="1"/>
  <c r="G153" i="47" s="1"/>
  <c r="G155" i="47" s="1"/>
  <c r="G56" i="47"/>
  <c r="K14" i="47" s="1"/>
  <c r="K56" i="47" s="1"/>
  <c r="G265" i="47"/>
  <c r="G266" i="47" s="1"/>
  <c r="G265" i="48"/>
  <c r="G266" i="48" s="1"/>
  <c r="G149" i="48"/>
  <c r="G153" i="48" s="1"/>
  <c r="G155" i="48" s="1"/>
  <c r="G56" i="48"/>
  <c r="K14" i="48" s="1"/>
  <c r="K56" i="48" s="1"/>
  <c r="G52" i="48"/>
  <c r="G268" i="48" s="1"/>
</calcChain>
</file>

<file path=xl/sharedStrings.xml><?xml version="1.0" encoding="utf-8"?>
<sst xmlns="http://schemas.openxmlformats.org/spreadsheetml/2006/main" count="25161" uniqueCount="3791">
  <si>
    <t>10 -GENERAL FUND</t>
  </si>
  <si>
    <t>REVENUES</t>
  </si>
  <si>
    <t>(--------------</t>
  </si>
  <si>
    <t>2024-2025 --</t>
  </si>
  <si>
    <t>-------------)</t>
  </si>
  <si>
    <t>(------- 2025</t>
  </si>
  <si>
    <t>-2026 --------)</t>
  </si>
  <si>
    <t>2021-2022</t>
  </si>
  <si>
    <t>2022-2023</t>
  </si>
  <si>
    <t>2023-2024</t>
  </si>
  <si>
    <t>CURRENT</t>
  </si>
  <si>
    <t>Y-T-D ACTUAL</t>
  </si>
  <si>
    <t>PROJECTED</t>
  </si>
  <si>
    <t>REQUESTED</t>
  </si>
  <si>
    <t>APPROVED</t>
  </si>
  <si>
    <t>ACTUAL</t>
  </si>
  <si>
    <t>BUDGET</t>
  </si>
  <si>
    <t>YEAR END</t>
  </si>
  <si>
    <t>________</t>
  </si>
  <si>
    <t>_______________________________</t>
  </si>
  <si>
    <t>______________</t>
  </si>
  <si>
    <t>________________</t>
  </si>
  <si>
    <t>____________</t>
  </si>
  <si>
    <t>_______________</t>
  </si>
  <si>
    <t>_____________</t>
  </si>
  <si>
    <t>10-ADMINISTRATION</t>
  </si>
  <si>
    <t>_________</t>
  </si>
  <si>
    <t>410-1110</t>
  </si>
  <si>
    <t>AD VALOREM TAXES</t>
  </si>
  <si>
    <t>410-1111</t>
  </si>
  <si>
    <t>AD VALOREM PENALTIES &amp; INTERES</t>
  </si>
  <si>
    <t>410-1200</t>
  </si>
  <si>
    <t>SALES TAXES</t>
  </si>
  <si>
    <t>410-1208</t>
  </si>
  <si>
    <t>TOWN CENTER DEVELOPMENT</t>
  </si>
  <si>
    <t>410-1209</t>
  </si>
  <si>
    <t>COLV EMPLOYEE BENEFITS TRUST</t>
  </si>
  <si>
    <t>410-1211</t>
  </si>
  <si>
    <t>GENERAL FUND RESERVE ACCT INT</t>
  </si>
  <si>
    <t>410-1212</t>
  </si>
  <si>
    <t>REAL ESTATE INTEREST</t>
  </si>
  <si>
    <t>410-1213</t>
  </si>
  <si>
    <t>STREET/ROADWAY IMPACT FEES INT</t>
  </si>
  <si>
    <t>410-1214</t>
  </si>
  <si>
    <t>LV SUNSET PARK INTEREST</t>
  </si>
  <si>
    <t>410-1215</t>
  </si>
  <si>
    <t>AUSTIN BOULEVARD PAVING INT</t>
  </si>
  <si>
    <t>410-1220</t>
  </si>
  <si>
    <t>MIXED BEVERAGE TAX</t>
  </si>
  <si>
    <t>410-1230</t>
  </si>
  <si>
    <t>TRANS FROM HOTEL FUND TAX</t>
  </si>
  <si>
    <t>410-1300</t>
  </si>
  <si>
    <t>ELECTRIC FRANCHISE FEE</t>
  </si>
  <si>
    <t>410-1310</t>
  </si>
  <si>
    <t>TELEPHONE FRANCHISE FEE</t>
  </si>
  <si>
    <t>410-1320</t>
  </si>
  <si>
    <t>CABLE TV FRANCHISE FEE</t>
  </si>
  <si>
    <t>410-1330</t>
  </si>
  <si>
    <t>GAS FRANCHISE FEES</t>
  </si>
  <si>
    <t>410-1340</t>
  </si>
  <si>
    <t>SOLID WASTE FRANCHISE FEES</t>
  </si>
  <si>
    <t>410-1410</t>
  </si>
  <si>
    <t>INVESTMENT INTEREST</t>
  </si>
  <si>
    <t>410-1411</t>
  </si>
  <si>
    <t>ARPA GRANT INTEREST</t>
  </si>
  <si>
    <t>410-1412</t>
  </si>
  <si>
    <t>410-1430</t>
  </si>
  <si>
    <t>CREDIT CARD SERVICE FEE</t>
  </si>
  <si>
    <t>410-1450</t>
  </si>
  <si>
    <t>LAGO VISTA RETAIL CENTER HOLDI</t>
  </si>
  <si>
    <t>410-1570</t>
  </si>
  <si>
    <t>SALE OF COPIES, ETC.</t>
  </si>
  <si>
    <t>410-1580</t>
  </si>
  <si>
    <t>SALE OF ASSETS</t>
  </si>
  <si>
    <t>410-1800</t>
  </si>
  <si>
    <t>DONATED LAND</t>
  </si>
  <si>
    <t>410-1810</t>
  </si>
  <si>
    <t>OTHER REVENUE</t>
  </si>
  <si>
    <t>410-1815</t>
  </si>
  <si>
    <t>LONG AND SHORT</t>
  </si>
  <si>
    <t>410-2000</t>
  </si>
  <si>
    <t>CITY HALL RENTAL INCOME</t>
  </si>
  <si>
    <t>410-2200</t>
  </si>
  <si>
    <t>DIGITAL SIGN APPLICATION</t>
  </si>
  <si>
    <t>410-2500</t>
  </si>
  <si>
    <t>TRAVIS COUNTY FILING FEES</t>
  </si>
  <si>
    <t>410-3200</t>
  </si>
  <si>
    <t>AIRPORT FUND REIMBURSEMENT</t>
  </si>
  <si>
    <t>410-3230</t>
  </si>
  <si>
    <t>GRANTS</t>
  </si>
  <si>
    <t>410-4200</t>
  </si>
  <si>
    <t>LAGO VISTA FARMERS MARKET</t>
  </si>
  <si>
    <t>410-4220</t>
  </si>
  <si>
    <t>RENTAL/LEASE REVENUE</t>
  </si>
  <si>
    <t>410-7911</t>
  </si>
  <si>
    <t>BOND PROCEEDS</t>
  </si>
  <si>
    <t>410-9000</t>
  </si>
  <si>
    <t>TRANSFER FROM UTILITIES</t>
  </si>
  <si>
    <t>410-9060</t>
  </si>
  <si>
    <t>PROCEEDS FROM LOANS</t>
  </si>
  <si>
    <t>410-9100</t>
  </si>
  <si>
    <t>TRANSFER FROM RESERVES</t>
  </si>
  <si>
    <t>410-9101</t>
  </si>
  <si>
    <t>TRANSFER FROM CIP</t>
  </si>
  <si>
    <t>410-9150</t>
  </si>
  <si>
    <t>TRANSFER FROM HOTEL FUND</t>
  </si>
  <si>
    <t>410-9725</t>
  </si>
  <si>
    <t>TRANSFER FROM AVIATION FUND</t>
  </si>
  <si>
    <t>___________</t>
  </si>
  <si>
    <t>TOTAL</t>
  </si>
  <si>
    <t>_x000C_</t>
  </si>
  <si>
    <t>25 05:17 PM</t>
  </si>
  <si>
    <t>CITY</t>
  </si>
  <si>
    <t>OF   LAGO</t>
  </si>
  <si>
    <t>VISTA</t>
  </si>
  <si>
    <t>PAGE:  2</t>
  </si>
  <si>
    <t>DEPARTM</t>
  </si>
  <si>
    <t>ENT REQUESTE</t>
  </si>
  <si>
    <t>D WORKSHEET</t>
  </si>
  <si>
    <t>AS</t>
  </si>
  <si>
    <t>OF:  JUNE 30</t>
  </si>
  <si>
    <t>TH, 2025</t>
  </si>
  <si>
    <t>10 -GENE</t>
  </si>
  <si>
    <t>RAL FUND</t>
  </si>
  <si>
    <t>Y-T-D</t>
  </si>
  <si>
    <t>11-NON D</t>
  </si>
  <si>
    <t>EPARTMENTAL</t>
  </si>
  <si>
    <t>411-1650</t>
  </si>
  <si>
    <t>KLVB - DONATIONS</t>
  </si>
  <si>
    <t>411-1700</t>
  </si>
  <si>
    <t>VETERANS MEMORIAL DONATIONS</t>
  </si>
  <si>
    <t>411-1725</t>
  </si>
  <si>
    <t>LAGO FEST SPONSORS/DONATIONS</t>
  </si>
  <si>
    <t>411-1730</t>
  </si>
  <si>
    <t>LAGO FEST PARKING</t>
  </si>
  <si>
    <t>411-1740</t>
  </si>
  <si>
    <t>LAGO FEST ARTIST BOOTHS</t>
  </si>
  <si>
    <t>411-1750</t>
  </si>
  <si>
    <t>LAGO FEST FOOD VENDORS</t>
  </si>
  <si>
    <t>411-1760</t>
  </si>
  <si>
    <t>LAGO FEST VIP TICKETS</t>
  </si>
  <si>
    <t>411-1770</t>
  </si>
  <si>
    <t>LAGO FEST MERCHANDISE</t>
  </si>
  <si>
    <t>411-1775</t>
  </si>
  <si>
    <t>CHRISTMAS FESTIVAL DONATIONS</t>
  </si>
  <si>
    <t>411-1780</t>
  </si>
  <si>
    <t>CHRISTMAS FESTIVAL VENDORS</t>
  </si>
  <si>
    <t>411-1785</t>
  </si>
  <si>
    <t>CITY SPONSORED EVENTS</t>
  </si>
  <si>
    <t>411-1800</t>
  </si>
  <si>
    <t>CONCERT SERIES REVENUE</t>
  </si>
  <si>
    <t>411-1810</t>
  </si>
  <si>
    <t>11-NON DEPARTMENTAL</t>
  </si>
  <si>
    <t>12-DEVEL</t>
  </si>
  <si>
    <t>OPMENT SERVICES</t>
  </si>
  <si>
    <t>412-1430</t>
  </si>
  <si>
    <t>CREDIT CARD FEES</t>
  </si>
  <si>
    <t>412-1520</t>
  </si>
  <si>
    <t>SIGN PERMITS</t>
  </si>
  <si>
    <t>412-1525</t>
  </si>
  <si>
    <t>DEVELOPMENT AGREEMENT</t>
  </si>
  <si>
    <t>412-1601</t>
  </si>
  <si>
    <t>PID APPLICATION FEE</t>
  </si>
  <si>
    <t>412-1602</t>
  </si>
  <si>
    <t>PID PROFESSIONAL SRVCS REVENUE</t>
  </si>
  <si>
    <t>412-1603</t>
  </si>
  <si>
    <t>MUD APPLICATON FEE</t>
  </si>
  <si>
    <t>412-1604</t>
  </si>
  <si>
    <t>TIRZ APPLICATION FEE</t>
  </si>
  <si>
    <t>412-1812</t>
  </si>
  <si>
    <t>412-1815</t>
  </si>
  <si>
    <t>DEV SVC CASH OVER / SHORT</t>
  </si>
  <si>
    <t>412-1830</t>
  </si>
  <si>
    <t>REPLATS &amp; RELEASE EASEMENT</t>
  </si>
  <si>
    <t>412-1835</t>
  </si>
  <si>
    <t>SITE DEVELOPMENT REVIEWS</t>
  </si>
  <si>
    <t>412-1840</t>
  </si>
  <si>
    <t>RE-VEGITATION COST DEPOSIT</t>
  </si>
  <si>
    <t>412-1845</t>
  </si>
  <si>
    <t>PARK FUND</t>
  </si>
  <si>
    <t>412-3100</t>
  </si>
  <si>
    <t>BUILDING PERMITS</t>
  </si>
  <si>
    <t>412-3103</t>
  </si>
  <si>
    <t>BLDG PERMIT-STREET REPAIR</t>
  </si>
  <si>
    <t>412-3105</t>
  </si>
  <si>
    <t>MISC. PERMITS</t>
  </si>
  <si>
    <t>412-3106</t>
  </si>
  <si>
    <t>ZONING APPLICATION FEES</t>
  </si>
  <si>
    <t>412-3107</t>
  </si>
  <si>
    <t>ANNEXATION FEES</t>
  </si>
  <si>
    <t>412-3110</t>
  </si>
  <si>
    <t>REINSPECTION FEES</t>
  </si>
  <si>
    <t>412-3125</t>
  </si>
  <si>
    <t>SITE DEV PLAN INSPECTIONS/TEST</t>
  </si>
  <si>
    <t>412-3150</t>
  </si>
  <si>
    <t>FIRE MARSHALL INSPECTIONS</t>
  </si>
  <si>
    <t>412-3200</t>
  </si>
  <si>
    <t>MECHANICAL PERMITS</t>
  </si>
  <si>
    <t>412-3210</t>
  </si>
  <si>
    <t>PLUMBING PERMITS</t>
  </si>
  <si>
    <t>412-3220</t>
  </si>
  <si>
    <t>ELECTRICAL PERMITS</t>
  </si>
  <si>
    <t>412-3225</t>
  </si>
  <si>
    <t>ELECTRICAL LICENSES</t>
  </si>
  <si>
    <t>412-3226</t>
  </si>
  <si>
    <t>PRELIMINARY &amp; FINAL PLAT FEE</t>
  </si>
  <si>
    <t>412-3227</t>
  </si>
  <si>
    <t>CONSTRUCTION PLAN APPL. FEE</t>
  </si>
  <si>
    <t>412-3228</t>
  </si>
  <si>
    <t>TREE REPLACEMENT FEE</t>
  </si>
  <si>
    <t>412-3230</t>
  </si>
  <si>
    <t>412-3235</t>
  </si>
  <si>
    <t>ESCROW ACCT - DEV SVCS</t>
  </si>
  <si>
    <t>412-3240</t>
  </si>
  <si>
    <t>BUILDING PLAN REVIEW</t>
  </si>
  <si>
    <t>412-3245</t>
  </si>
  <si>
    <t>BCCP - MITIGATION REIMBURSEMEN</t>
  </si>
  <si>
    <t>PAGE:  3</t>
  </si>
  <si>
    <t>412-3250</t>
  </si>
  <si>
    <t>ENGINEER REVIEW REIMBURSEMENTS</t>
  </si>
  <si>
    <t>412-3260</t>
  </si>
  <si>
    <t>PROFESSIONAL SERVICE REIMB.</t>
  </si>
  <si>
    <t>412-3300</t>
  </si>
  <si>
    <t>HEALTH DEPT INSPECTION FEES</t>
  </si>
  <si>
    <t>412-4751</t>
  </si>
  <si>
    <t>12-DEVELOPMENT SERVICES</t>
  </si>
  <si>
    <t>15-MUNIC</t>
  </si>
  <si>
    <t>IPAL COURT</t>
  </si>
  <si>
    <t>__________</t>
  </si>
  <si>
    <t>415-1430</t>
  </si>
  <si>
    <t>415-2100</t>
  </si>
  <si>
    <t>MUNICIPAL COURT FINES</t>
  </si>
  <si>
    <t>415-2101</t>
  </si>
  <si>
    <t>CITY TRUNCY PRVNTION DVERSN</t>
  </si>
  <si>
    <t>415-2102</t>
  </si>
  <si>
    <t>INDIGENT DEFENSE FEE</t>
  </si>
  <si>
    <t>415-2103</t>
  </si>
  <si>
    <t>STATE COURT SERVICE FEE EARNED</t>
  </si>
  <si>
    <t>415-2104</t>
  </si>
  <si>
    <t>LOCAL YOUTH ADMIN FEE</t>
  </si>
  <si>
    <t>415-2105</t>
  </si>
  <si>
    <t>BUILDING SECURITY FEES</t>
  </si>
  <si>
    <t>415-2106</t>
  </si>
  <si>
    <t>COURT TECHNOLOGY FEE</t>
  </si>
  <si>
    <t>415-2107</t>
  </si>
  <si>
    <t>STATE JURY FEE</t>
  </si>
  <si>
    <t>415-2108</t>
  </si>
  <si>
    <t>EXPUNCTION FEE</t>
  </si>
  <si>
    <t>415-2109</t>
  </si>
  <si>
    <t>REST. FEE - LOCAL</t>
  </si>
  <si>
    <t>415-2110</t>
  </si>
  <si>
    <t>REST. FEE - STATE</t>
  </si>
  <si>
    <t>415-2111</t>
  </si>
  <si>
    <t>JUDICIAL FEE - STATE</t>
  </si>
  <si>
    <t>415-2112</t>
  </si>
  <si>
    <t>JUDICIAL FEE - CITY</t>
  </si>
  <si>
    <t>415-2113</t>
  </si>
  <si>
    <t>JUVENILE CASE MANAGEMENT FEE</t>
  </si>
  <si>
    <t>415-2114</t>
  </si>
  <si>
    <t>COURT CASH BOND</t>
  </si>
  <si>
    <t>415-2200</t>
  </si>
  <si>
    <t>MUNICIPAL COURT OVERPAYMENT FE</t>
  </si>
  <si>
    <t>15-MUNICIPAL COURT</t>
  </si>
  <si>
    <t>20-POLIC</t>
  </si>
  <si>
    <t>E DEPARTMENT</t>
  </si>
  <si>
    <t>420-1230</t>
  </si>
  <si>
    <t>SCHOOL OFFICER FUNDING</t>
  </si>
  <si>
    <t>420-1240</t>
  </si>
  <si>
    <t>CROSSING GUARD TAX</t>
  </si>
  <si>
    <t>420-1530</t>
  </si>
  <si>
    <t>WRECKER PERMITS</t>
  </si>
  <si>
    <t>420-1560</t>
  </si>
  <si>
    <t>ANIMAL LICENSE</t>
  </si>
  <si>
    <t>420-1565</t>
  </si>
  <si>
    <t>ANIMAL IMPOUNDMENT</t>
  </si>
  <si>
    <t>420-1570</t>
  </si>
  <si>
    <t>SALE OF COPIES. ETC.</t>
  </si>
  <si>
    <t>420-1810</t>
  </si>
  <si>
    <t>420-1820</t>
  </si>
  <si>
    <t>PRIVATE ALARM PERMIT/FEES</t>
  </si>
  <si>
    <t>420-4221</t>
  </si>
  <si>
    <t>CAPCOG GRANT-GENERATOR</t>
  </si>
  <si>
    <t>420-4222</t>
  </si>
  <si>
    <t>CAPCO</t>
  </si>
  <si>
    <t>420-4230</t>
  </si>
  <si>
    <t>HOMELAND SECURITY GRANT REVENU</t>
  </si>
  <si>
    <t>420-4240</t>
  </si>
  <si>
    <t>REIMBURSE FOR DISPATCHING SVCS</t>
  </si>
  <si>
    <t>420-4250</t>
  </si>
  <si>
    <t>BULLETPROOF VEST PROGRAM</t>
  </si>
  <si>
    <t>420-4260</t>
  </si>
  <si>
    <t>BODY WORN CAMERA GRANT</t>
  </si>
  <si>
    <t>420-4320</t>
  </si>
  <si>
    <t>LEOSE</t>
  </si>
  <si>
    <t>20-POLICE DEPARTMENT</t>
  </si>
  <si>
    <t>30-PUBLI</t>
  </si>
  <si>
    <t>C WORKS/BUILDING</t>
  </si>
  <si>
    <t>430-1200</t>
  </si>
  <si>
    <t>INSURANCE RECOVERY</t>
  </si>
  <si>
    <t>430-1450</t>
  </si>
  <si>
    <t>CAPITAL METRO CONTRIBUTIONS</t>
  </si>
  <si>
    <t>430-1451</t>
  </si>
  <si>
    <t>OVERLAY CARRY OVERS</t>
  </si>
  <si>
    <t>430-1452</t>
  </si>
  <si>
    <t>CAPITAL METRO 1/4 CENT REBATE</t>
  </si>
  <si>
    <t>430-1453</t>
  </si>
  <si>
    <t>PRIOR YEAR CAP METRO FUNDS</t>
  </si>
  <si>
    <t>PAGE:  4</t>
  </si>
  <si>
    <t>430-1810</t>
  </si>
  <si>
    <t>430-1820</t>
  </si>
  <si>
    <t>STREET CUTS</t>
  </si>
  <si>
    <t>430-1830</t>
  </si>
  <si>
    <t>HOLLOWS RESTORATION</t>
  </si>
  <si>
    <t>430-4000</t>
  </si>
  <si>
    <t>LEASE PURCHASE PROCEEDS</t>
  </si>
  <si>
    <t>430-4025</t>
  </si>
  <si>
    <t>STREET/ROADWAY IMPACT FEES</t>
  </si>
  <si>
    <t>30-PUBLIC WORKS/BUILDING</t>
  </si>
  <si>
    <t>31-SOLID</t>
  </si>
  <si>
    <t>WASTE</t>
  </si>
  <si>
    <t>______</t>
  </si>
  <si>
    <t>431-1700</t>
  </si>
  <si>
    <t>SOLID WASTE FEES</t>
  </si>
  <si>
    <t>431-1750</t>
  </si>
  <si>
    <t>HAZARDOUS WASTE FEES</t>
  </si>
  <si>
    <t>431-1800</t>
  </si>
  <si>
    <t>GREEN CENTER REVENUE</t>
  </si>
  <si>
    <t>431-1830</t>
  </si>
  <si>
    <t>SOLID WASTE OTHER REVENUE</t>
  </si>
  <si>
    <t>31-SOLID WASTE</t>
  </si>
  <si>
    <t>34-PARKS</t>
  </si>
  <si>
    <t>&amp; RECREATION</t>
  </si>
  <si>
    <t>434-3100</t>
  </si>
  <si>
    <t>SUNSET PARK REVENUE</t>
  </si>
  <si>
    <t>434-3300</t>
  </si>
  <si>
    <t>PARKS &amp; REC OTHER REVENUE</t>
  </si>
  <si>
    <t>34-PARKS &amp; RECREATION</t>
  </si>
  <si>
    <t>35-AQUAT</t>
  </si>
  <si>
    <t>ICS</t>
  </si>
  <si>
    <t>___</t>
  </si>
  <si>
    <t>435-1810</t>
  </si>
  <si>
    <t>POOL OVER AND SHORT</t>
  </si>
  <si>
    <t>435-3100</t>
  </si>
  <si>
    <t>POOL REVENUE</t>
  </si>
  <si>
    <t>435-3150</t>
  </si>
  <si>
    <t>POOL SNACKS REVENUE</t>
  </si>
  <si>
    <t>435-3200</t>
  </si>
  <si>
    <t>TRANSFER FROM PARK FUND</t>
  </si>
  <si>
    <t>435-3230</t>
  </si>
  <si>
    <t>435-3300</t>
  </si>
  <si>
    <t>SWIMMING POOL OTHER REVENUE</t>
  </si>
  <si>
    <t>35-AQUATICS</t>
  </si>
  <si>
    <t>40-AVIAT</t>
  </si>
  <si>
    <t>ION DEPARTMENT</t>
  </si>
  <si>
    <t>440-1410</t>
  </si>
  <si>
    <t>440-3100</t>
  </si>
  <si>
    <t>AIRPORT REVENUE</t>
  </si>
  <si>
    <t>440-3103</t>
  </si>
  <si>
    <t>AIRPORT FUEL REVENUE</t>
  </si>
  <si>
    <t>440-3105</t>
  </si>
  <si>
    <t>F-4 PROJECT</t>
  </si>
  <si>
    <t>440-3200</t>
  </si>
  <si>
    <t>RAMP GRANT REVENUE</t>
  </si>
  <si>
    <t>440-3250</t>
  </si>
  <si>
    <t>AIRPORT POA SHARED EXP CONTRIB</t>
  </si>
  <si>
    <t>440-3300</t>
  </si>
  <si>
    <t>AIRPORT POA CIP CONTRIBUTION</t>
  </si>
  <si>
    <t>440-3350</t>
  </si>
  <si>
    <t>TXDOT MATCHING FUND PROJECT</t>
  </si>
  <si>
    <t>440-3400</t>
  </si>
  <si>
    <t>AIRPORT POA AWOS CONTRIBUTION</t>
  </si>
  <si>
    <t>40-AVIATION DEPARTMENT</t>
  </si>
  <si>
    <t>45-LIBRA</t>
  </si>
  <si>
    <t>RY DEPARTMENT</t>
  </si>
  <si>
    <t>445-3100</t>
  </si>
  <si>
    <t>LIBRARY FINES AND REVENUE</t>
  </si>
  <si>
    <t>445-3229</t>
  </si>
  <si>
    <t>LONE STAR GRANT</t>
  </si>
  <si>
    <t>445-3230</t>
  </si>
  <si>
    <t>LIBRARY GRANTS</t>
  </si>
  <si>
    <t>445-5000</t>
  </si>
  <si>
    <t>DONATIONS TO LIBRARY</t>
  </si>
  <si>
    <t>45-LIBRARY DEPARTMENT</t>
  </si>
  <si>
    <t>TOTAL RE</t>
  </si>
  <si>
    <t>VENUES</t>
  </si>
  <si>
    <t>PAGE:  5</t>
  </si>
  <si>
    <t>EXPENSES</t>
  </si>
  <si>
    <t>10-ADMIN</t>
  </si>
  <si>
    <t>ISTRATION</t>
  </si>
  <si>
    <t>========</t>
  </si>
  <si>
    <t>=========</t>
  </si>
  <si>
    <t>PERSONNE</t>
  </si>
  <si>
    <t>L SERVICES</t>
  </si>
  <si>
    <t>510-1000</t>
  </si>
  <si>
    <t>ACCRUED SALARY EXPENSE (AJE)</t>
  </si>
  <si>
    <t>510-1010</t>
  </si>
  <si>
    <t>STATE UNEMPLOYMENT TAX</t>
  </si>
  <si>
    <t>510-1020</t>
  </si>
  <si>
    <t>SOCIAL SECURITY / MEDICARE</t>
  </si>
  <si>
    <t>510-1030</t>
  </si>
  <si>
    <t>TMRS</t>
  </si>
  <si>
    <t>510-1050</t>
  </si>
  <si>
    <t>HEALTH, DENTAL &amp; LIFE INS</t>
  </si>
  <si>
    <t>510-1060</t>
  </si>
  <si>
    <t>HEALTH REIMBURSEMENT ACCOUNT</t>
  </si>
  <si>
    <t>510-1070</t>
  </si>
  <si>
    <t>WORKERS COMPENSATION</t>
  </si>
  <si>
    <t>510-1100</t>
  </si>
  <si>
    <t>CITY MANAGER</t>
  </si>
  <si>
    <t>510-1105</t>
  </si>
  <si>
    <t>ASSISTANT CITY MANAGER</t>
  </si>
  <si>
    <t>510-1110</t>
  </si>
  <si>
    <t>CITY SECRETARY</t>
  </si>
  <si>
    <t>510-1115</t>
  </si>
  <si>
    <t>PROGRAM MANAGER</t>
  </si>
  <si>
    <t>510-1120</t>
  </si>
  <si>
    <t>INTERIM CITY MANAGER</t>
  </si>
  <si>
    <t>510-1138</t>
  </si>
  <si>
    <t>CELL PHONE ALLOWANCE</t>
  </si>
  <si>
    <t>510-1140</t>
  </si>
  <si>
    <t>SENIOR ACCOUNTANT/FINANCE</t>
  </si>
  <si>
    <t>510-1144</t>
  </si>
  <si>
    <t>CAR ALLOWANCE</t>
  </si>
  <si>
    <t>510-1145</t>
  </si>
  <si>
    <t>LONGEVITY PAY</t>
  </si>
  <si>
    <t>510-1146</t>
  </si>
  <si>
    <t>REWARDS PROGRAM</t>
  </si>
  <si>
    <t>510-1148</t>
  </si>
  <si>
    <t>CELL PHONE STIPEND</t>
  </si>
  <si>
    <t>510-1149</t>
  </si>
  <si>
    <t>IN LIEU OF</t>
  </si>
  <si>
    <t>510-1274</t>
  </si>
  <si>
    <t>OVERTIME</t>
  </si>
  <si>
    <t>510-1300</t>
  </si>
  <si>
    <t>MERIT INCREASE</t>
  </si>
  <si>
    <t>510-1405</t>
  </si>
  <si>
    <t>COLA PAY INCREASE</t>
  </si>
  <si>
    <t>510-1500</t>
  </si>
  <si>
    <t>GENERAL FUND PAY PLAN</t>
  </si>
  <si>
    <t>510-1550</t>
  </si>
  <si>
    <t>COMMUNICATION &amp; MARKETING SUPE</t>
  </si>
  <si>
    <t>PERSONNEL SERVICES</t>
  </si>
  <si>
    <t>OPERATIO</t>
  </si>
  <si>
    <t>NS &amp; MAINTENANCE</t>
  </si>
  <si>
    <t>510-4000</t>
  </si>
  <si>
    <t>LIABILITY &amp; PROPERTY INS</t>
  </si>
  <si>
    <t>510-4110</t>
  </si>
  <si>
    <t>UNIFORMS</t>
  </si>
  <si>
    <t>510-4200</t>
  </si>
  <si>
    <t>TRAVEL</t>
  </si>
  <si>
    <t>510-4300</t>
  </si>
  <si>
    <t>TRAINING/EDUCATION</t>
  </si>
  <si>
    <t>510-4305</t>
  </si>
  <si>
    <t>CONVENTIONS</t>
  </si>
  <si>
    <t>510-4350</t>
  </si>
  <si>
    <t>SUPER S SALES TAX REBATE</t>
  </si>
  <si>
    <t>510-4400</t>
  </si>
  <si>
    <t>DUES &amp; SUBSCRIPTIONS</t>
  </si>
  <si>
    <t>510-4420</t>
  </si>
  <si>
    <t>NOTARY BONDS</t>
  </si>
  <si>
    <t>510-4550</t>
  </si>
  <si>
    <t>LEGAL NOTICES</t>
  </si>
  <si>
    <t>510-4565</t>
  </si>
  <si>
    <t>ELECTIONS</t>
  </si>
  <si>
    <t>510-4570</t>
  </si>
  <si>
    <t>RENTAL/LEASE</t>
  </si>
  <si>
    <t>510-4571</t>
  </si>
  <si>
    <t>RENT (AUDITOR AJE)</t>
  </si>
  <si>
    <t>510-4575</t>
  </si>
  <si>
    <t>BANK/CREDIT CARD FEES</t>
  </si>
  <si>
    <t>510-4600</t>
  </si>
  <si>
    <t>TELEPHONE/INTERNET</t>
  </si>
  <si>
    <t>510-4700</t>
  </si>
  <si>
    <t>MAINTENANCE &amp; REPAIRS</t>
  </si>
  <si>
    <t>510-4750</t>
  </si>
  <si>
    <t>MISCELLANEOUS EXPENSE</t>
  </si>
  <si>
    <t>510-4825</t>
  </si>
  <si>
    <t>IT EXPENSE</t>
  </si>
  <si>
    <t>OPERATIONS &amp; MAINTENANCE</t>
  </si>
  <si>
    <t>PAGE:  6</t>
  </si>
  <si>
    <t>PERMANENT NOTE</t>
  </si>
  <si>
    <t>S:</t>
  </si>
  <si>
    <t>BALLOTS</t>
  </si>
  <si>
    <t>VOTING K</t>
  </si>
  <si>
    <t>ITS      50.00</t>
  </si>
  <si>
    <t>ELECT JU</t>
  </si>
  <si>
    <t>DGE</t>
  </si>
  <si>
    <t>ALT ELEC</t>
  </si>
  <si>
    <t>T JUDGE  75.00</t>
  </si>
  <si>
    <t>SUPPLIES</t>
  </si>
  <si>
    <t>510-5100</t>
  </si>
  <si>
    <t>BOOKS,PUBLICATIONS &amp; FILMS</t>
  </si>
  <si>
    <t>510-5200</t>
  </si>
  <si>
    <t>POSTAGE</t>
  </si>
  <si>
    <t>510-5300</t>
  </si>
  <si>
    <t>510-5400</t>
  </si>
  <si>
    <t>FUEL &amp; LUBRICANTS</t>
  </si>
  <si>
    <t>510-5500</t>
  </si>
  <si>
    <t>COVID 19 EXPENSES</t>
  </si>
  <si>
    <t>510-5700</t>
  </si>
  <si>
    <t>WINTER STORMS</t>
  </si>
  <si>
    <t>SERVICES</t>
  </si>
  <si>
    <t>510-6100</t>
  </si>
  <si>
    <t>PROFESSIONAL SERVICES</t>
  </si>
  <si>
    <t>510-6110</t>
  </si>
  <si>
    <t>AUDIT SERVICES</t>
  </si>
  <si>
    <t>510-6120</t>
  </si>
  <si>
    <t>LEGAL SERVICES</t>
  </si>
  <si>
    <t>510-6135</t>
  </si>
  <si>
    <t>CONTRACT SERVICES</t>
  </si>
  <si>
    <t>510-6140</t>
  </si>
  <si>
    <t>PURCHASE/SALE OF ASSETS</t>
  </si>
  <si>
    <t>510-6200</t>
  </si>
  <si>
    <t>TAX COLLECTION SERVICES</t>
  </si>
  <si>
    <t>510-6210</t>
  </si>
  <si>
    <t>TAX APPRAISAL SERVICES</t>
  </si>
  <si>
    <t>510-6400</t>
  </si>
  <si>
    <t>PRINTING &amp; BINDING SERVICES</t>
  </si>
  <si>
    <t>510-6500</t>
  </si>
  <si>
    <t>MISCELLANEOUS SERVICES</t>
  </si>
  <si>
    <t>510-6540</t>
  </si>
  <si>
    <t>MAINTENANCE AGREEMENTS</t>
  </si>
  <si>
    <t>510-6560</t>
  </si>
  <si>
    <t>CITY MANAGER CONTINGENCY</t>
  </si>
  <si>
    <t>FIXED AS</t>
  </si>
  <si>
    <t>SETS</t>
  </si>
  <si>
    <t>____</t>
  </si>
  <si>
    <t>510-9000</t>
  </si>
  <si>
    <t>TRANSFER TP CAPITAL IMP</t>
  </si>
  <si>
    <t>510-9700</t>
  </si>
  <si>
    <t>FIXED ASSETS</t>
  </si>
  <si>
    <t>510-9710</t>
  </si>
  <si>
    <t>LAND ACQUISITION</t>
  </si>
  <si>
    <t>510-9730</t>
  </si>
  <si>
    <t>OFFICE EQUIPMENT &amp; SOFTWARE</t>
  </si>
  <si>
    <t>510-9800</t>
  </si>
  <si>
    <t>510-9900</t>
  </si>
  <si>
    <t>CITY HALL BUILDING</t>
  </si>
  <si>
    <t>===========</t>
  </si>
  <si>
    <t>511-1010</t>
  </si>
  <si>
    <t>511-1020</t>
  </si>
  <si>
    <t>511-1149</t>
  </si>
  <si>
    <t>511-1260</t>
  </si>
  <si>
    <t>EVENT EMPLOYEES</t>
  </si>
  <si>
    <t>PAGE:  7</t>
  </si>
  <si>
    <t>511-4575</t>
  </si>
  <si>
    <t>511-4700</t>
  </si>
  <si>
    <t>EVENTS</t>
  </si>
  <si>
    <t>511-4715</t>
  </si>
  <si>
    <t>MATCHING GRANT FUNDS</t>
  </si>
  <si>
    <t>511-4750</t>
  </si>
  <si>
    <t>511-4800</t>
  </si>
  <si>
    <t>KLVB DONATION EXPENSE</t>
  </si>
  <si>
    <t>511-4850</t>
  </si>
  <si>
    <t>VETERANS MEMORIAL EXPENSES</t>
  </si>
  <si>
    <t>511-4875</t>
  </si>
  <si>
    <t>LAGO FEST EXPENDITURES</t>
  </si>
  <si>
    <t>511-5000</t>
  </si>
  <si>
    <t>CONCERT SERIES EXPENSES</t>
  </si>
  <si>
    <t>511-5500</t>
  </si>
  <si>
    <t>511-5700</t>
  </si>
  <si>
    <t>511-6100</t>
  </si>
  <si>
    <t>511-6135</t>
  </si>
  <si>
    <t>511-9700</t>
  </si>
  <si>
    <t>TOWN CENTER DEVELOPMENT FURNIT</t>
  </si>
  <si>
    <t>511-9750</t>
  </si>
  <si>
    <t>TOWN CENTER DEVELOPMENT BLDG</t>
  </si>
  <si>
    <t>===============</t>
  </si>
  <si>
    <t>512-1000</t>
  </si>
  <si>
    <t>ACCRUED SALARY (AUDITOR ADJ)</t>
  </si>
  <si>
    <t>512-1010</t>
  </si>
  <si>
    <t>512-1020</t>
  </si>
  <si>
    <t>512-1030</t>
  </si>
  <si>
    <t>512-1050</t>
  </si>
  <si>
    <t>HEALTH, DENTAL &amp; LIFE INS.</t>
  </si>
  <si>
    <t>512-1060</t>
  </si>
  <si>
    <t>512-1070</t>
  </si>
  <si>
    <t>512-1106</t>
  </si>
  <si>
    <t>DEV SVC  DIRECTOR</t>
  </si>
  <si>
    <t>512-1110</t>
  </si>
  <si>
    <t>DEV  SVC SUPERVISOR</t>
  </si>
  <si>
    <t>512-1115</t>
  </si>
  <si>
    <t>CITY PLANNER</t>
  </si>
  <si>
    <t>512-1120</t>
  </si>
  <si>
    <t>BUILDING OFFICIAL</t>
  </si>
  <si>
    <t>512-1125</t>
  </si>
  <si>
    <t>BUILDING INSPECTOR</t>
  </si>
  <si>
    <t>512-1127</t>
  </si>
  <si>
    <t>DEV SVC PRG COORD</t>
  </si>
  <si>
    <t>512-1130</t>
  </si>
  <si>
    <t>PERMIT TECHNICIAN</t>
  </si>
  <si>
    <t>512-1140</t>
  </si>
  <si>
    <t>CODE ENFORCEMENT OFFICER</t>
  </si>
  <si>
    <t>512-1144</t>
  </si>
  <si>
    <t>512-1145</t>
  </si>
  <si>
    <t>PAGE:  8</t>
  </si>
  <si>
    <t>512-1146</t>
  </si>
  <si>
    <t>512-1147</t>
  </si>
  <si>
    <t>UNIFORM/BOOT ALLOWANCE</t>
  </si>
  <si>
    <t>512-1148</t>
  </si>
  <si>
    <t>512-1149</t>
  </si>
  <si>
    <t>512-1220</t>
  </si>
  <si>
    <t>DEV SER PRG COORD</t>
  </si>
  <si>
    <t>512-1274</t>
  </si>
  <si>
    <t>512-1300</t>
  </si>
  <si>
    <t>512-1405</t>
  </si>
  <si>
    <t>512-1500</t>
  </si>
  <si>
    <t>PAY PLAN INCREASES</t>
  </si>
  <si>
    <t>512-1525</t>
  </si>
  <si>
    <t>DEV SVCS SECRETARY</t>
  </si>
  <si>
    <t>512-1530</t>
  </si>
  <si>
    <t>OFFICE TECHNICIAN</t>
  </si>
  <si>
    <t>512-4000</t>
  </si>
  <si>
    <t>512-4110</t>
  </si>
  <si>
    <t>512-4200</t>
  </si>
  <si>
    <t>512-4300</t>
  </si>
  <si>
    <t>512-4400</t>
  </si>
  <si>
    <t>512-4420</t>
  </si>
  <si>
    <t>512-4525</t>
  </si>
  <si>
    <t>CONTRACT INSPECTIONS</t>
  </si>
  <si>
    <t>512-4550</t>
  </si>
  <si>
    <t>512-4570</t>
  </si>
  <si>
    <t>512-4575</t>
  </si>
  <si>
    <t>512-4600</t>
  </si>
  <si>
    <t>512-4700</t>
  </si>
  <si>
    <t>512-4725</t>
  </si>
  <si>
    <t>EQUIP/VEHICLE MAINT/REPAIRS</t>
  </si>
  <si>
    <t>512-4750</t>
  </si>
  <si>
    <t>512-4751</t>
  </si>
  <si>
    <t>LV RETAIL CENTER HOLDING</t>
  </si>
  <si>
    <t>512-4760</t>
  </si>
  <si>
    <t>BCCP - MITIGATION</t>
  </si>
  <si>
    <t>512-4825</t>
  </si>
  <si>
    <t>512-5100</t>
  </si>
  <si>
    <t>512-5200</t>
  </si>
  <si>
    <t>512-5300</t>
  </si>
  <si>
    <t>512-5400</t>
  </si>
  <si>
    <t>512-5500</t>
  </si>
  <si>
    <t>512-5700</t>
  </si>
  <si>
    <t>512-6100</t>
  </si>
  <si>
    <t>512-6120</t>
  </si>
  <si>
    <t>512-6130</t>
  </si>
  <si>
    <t>ENGINEERING &amp; PLANNING SERVICE</t>
  </si>
  <si>
    <t>512-6131</t>
  </si>
  <si>
    <t>PID ATTORNEY SERVICES</t>
  </si>
  <si>
    <t>512-6132</t>
  </si>
  <si>
    <t>PID ENGINEERING SERVICES</t>
  </si>
  <si>
    <t>512-6133</t>
  </si>
  <si>
    <t>PID ACCOUNTING SERVICES</t>
  </si>
  <si>
    <t>512-6134</t>
  </si>
  <si>
    <t>PID-MISCELLEANEOUS EXPENSES</t>
  </si>
  <si>
    <t>PAGE:  9</t>
  </si>
  <si>
    <t>512-6400</t>
  </si>
  <si>
    <t>512-6500</t>
  </si>
  <si>
    <t>10,479  (</t>
  </si>
  <si>
    <t>1,125)</t>
  </si>
  <si>
    <t>512-6540</t>
  </si>
  <si>
    <t>512-9730</t>
  </si>
  <si>
    <t>EQUIPMENT/SOFTWARE/ASSETS</t>
  </si>
  <si>
    <t>512-9760</t>
  </si>
  <si>
    <t>VEHICLES</t>
  </si>
  <si>
    <t>512-9805</t>
  </si>
  <si>
    <t>CONDEMNED BUILDINGS</t>
  </si>
  <si>
    <t>512-9810</t>
  </si>
  <si>
    <t>ABATEMENT</t>
  </si>
  <si>
    <t>13-FINAN</t>
  </si>
  <si>
    <t>CE</t>
  </si>
  <si>
    <t>==</t>
  </si>
  <si>
    <t>513-1000</t>
  </si>
  <si>
    <t>513-1010</t>
  </si>
  <si>
    <t>513-1020</t>
  </si>
  <si>
    <t>513-1030</t>
  </si>
  <si>
    <t>513-1050</t>
  </si>
  <si>
    <t>513-1060</t>
  </si>
  <si>
    <t>513-1070</t>
  </si>
  <si>
    <t>513-1100</t>
  </si>
  <si>
    <t>PROCUREMENT MANAGER</t>
  </si>
  <si>
    <t>513-1120</t>
  </si>
  <si>
    <t>STAFF ACCOUNTANT</t>
  </si>
  <si>
    <t>513-1121</t>
  </si>
  <si>
    <t>FINANCE SUPERVISOR</t>
  </si>
  <si>
    <t>513-1139</t>
  </si>
  <si>
    <t>FINANCE MANAGER</t>
  </si>
  <si>
    <t>513-1140</t>
  </si>
  <si>
    <t>FINANCE DIRECTOR</t>
  </si>
  <si>
    <t>513-1141</t>
  </si>
  <si>
    <t>SPANISH SPEAKING CERTIFICATION</t>
  </si>
  <si>
    <t>513-1142</t>
  </si>
  <si>
    <t>CHIEF FINANCIAL OFFICER</t>
  </si>
  <si>
    <t>513-1145</t>
  </si>
  <si>
    <t>LONGEVITY</t>
  </si>
  <si>
    <t>513-1146</t>
  </si>
  <si>
    <t>513-1148</t>
  </si>
  <si>
    <t>513-1149</t>
  </si>
  <si>
    <t>513-1150</t>
  </si>
  <si>
    <t>ACCOUNTING CLERK</t>
  </si>
  <si>
    <t>513-1274</t>
  </si>
  <si>
    <t>513-1300</t>
  </si>
  <si>
    <t>513-1405</t>
  </si>
  <si>
    <t>513-1500</t>
  </si>
  <si>
    <t>513-4000</t>
  </si>
  <si>
    <t>513-4110</t>
  </si>
  <si>
    <t>513-4200</t>
  </si>
  <si>
    <t>513-4300</t>
  </si>
  <si>
    <t>513-4400</t>
  </si>
  <si>
    <t>513-4420</t>
  </si>
  <si>
    <t>PAGE: 10</t>
  </si>
  <si>
    <t>513-4550</t>
  </si>
  <si>
    <t>513-4570</t>
  </si>
  <si>
    <t>513-4575</t>
  </si>
  <si>
    <t>BANK CHARGES</t>
  </si>
  <si>
    <t>513-4600</t>
  </si>
  <si>
    <t>513-4700</t>
  </si>
  <si>
    <t>513-4750</t>
  </si>
  <si>
    <t>513-4825</t>
  </si>
  <si>
    <t>513-5200</t>
  </si>
  <si>
    <t>513-5300</t>
  </si>
  <si>
    <t>513-5500</t>
  </si>
  <si>
    <t>513-5700</t>
  </si>
  <si>
    <t>513-6100</t>
  </si>
  <si>
    <t>513-6200</t>
  </si>
  <si>
    <t>TAX COLLECTIONS</t>
  </si>
  <si>
    <t>513-6210</t>
  </si>
  <si>
    <t>513-6400</t>
  </si>
  <si>
    <t>513-6500</t>
  </si>
  <si>
    <t>513-6540</t>
  </si>
  <si>
    <t>513-9730</t>
  </si>
  <si>
    <t>513-9735</t>
  </si>
  <si>
    <t>OFFICE FURNITURE</t>
  </si>
  <si>
    <t>14-HUMAN</t>
  </si>
  <si>
    <t>RESOURSES</t>
  </si>
  <si>
    <t>==========</t>
  </si>
  <si>
    <t>514-1000</t>
  </si>
  <si>
    <t>514-1010</t>
  </si>
  <si>
    <t>514-1020</t>
  </si>
  <si>
    <t>514-1030</t>
  </si>
  <si>
    <t>514-1050</t>
  </si>
  <si>
    <t>514-1060</t>
  </si>
  <si>
    <t>514-1070</t>
  </si>
  <si>
    <t>514-1122</t>
  </si>
  <si>
    <t>HUMAN RESOURCES DIRECTOR</t>
  </si>
  <si>
    <t>514-1144</t>
  </si>
  <si>
    <t>514-1145</t>
  </si>
  <si>
    <t>514-1146</t>
  </si>
  <si>
    <t>514-1148</t>
  </si>
  <si>
    <t>514-1149</t>
  </si>
  <si>
    <t>514-1150</t>
  </si>
  <si>
    <t>HUMAN RESOURCES CLERK</t>
  </si>
  <si>
    <t>PAGE: 11</t>
  </si>
  <si>
    <t>514-1300</t>
  </si>
  <si>
    <t>514-1405</t>
  </si>
  <si>
    <t>514-1500</t>
  </si>
  <si>
    <t>514-4000</t>
  </si>
  <si>
    <t>514-4110</t>
  </si>
  <si>
    <t>514-4200</t>
  </si>
  <si>
    <t>514-4300</t>
  </si>
  <si>
    <t>514-4400</t>
  </si>
  <si>
    <t>514-4420</t>
  </si>
  <si>
    <t>514-4550</t>
  </si>
  <si>
    <t>514-4700</t>
  </si>
  <si>
    <t>514-4750</t>
  </si>
  <si>
    <t>514-4825</t>
  </si>
  <si>
    <t>INFORMATION TECHNOLOGY</t>
  </si>
  <si>
    <t>514-5200</t>
  </si>
  <si>
    <t>514-5300</t>
  </si>
  <si>
    <t>514-5350</t>
  </si>
  <si>
    <t>EMPLOYEE RECOGNITION</t>
  </si>
  <si>
    <t>514-5500</t>
  </si>
  <si>
    <t>514-5700</t>
  </si>
  <si>
    <t>514-6100</t>
  </si>
  <si>
    <t>514-6120</t>
  </si>
  <si>
    <t>514-6400</t>
  </si>
  <si>
    <t>514-6500</t>
  </si>
  <si>
    <t>514-6540</t>
  </si>
  <si>
    <t>514-6550</t>
  </si>
  <si>
    <t>ADVERTISING</t>
  </si>
  <si>
    <t>514-9730</t>
  </si>
  <si>
    <t>514-9735</t>
  </si>
  <si>
    <t>PAGE: 12</t>
  </si>
  <si>
    <t>515-1000</t>
  </si>
  <si>
    <t>515-1010</t>
  </si>
  <si>
    <t>515-1020</t>
  </si>
  <si>
    <t>515-1030</t>
  </si>
  <si>
    <t>515-1050</t>
  </si>
  <si>
    <t>515-1060</t>
  </si>
  <si>
    <t>515-1070</t>
  </si>
  <si>
    <t>515-1130</t>
  </si>
  <si>
    <t>MUNICIPAL COURT CLERK</t>
  </si>
  <si>
    <t>515-1145</t>
  </si>
  <si>
    <t>515-1146</t>
  </si>
  <si>
    <t>515-1148</t>
  </si>
  <si>
    <t>515-1149</t>
  </si>
  <si>
    <t>515-1274</t>
  </si>
  <si>
    <t>515-1300</t>
  </si>
  <si>
    <t>515-1405</t>
  </si>
  <si>
    <t>515-1500</t>
  </si>
  <si>
    <t>515-4110</t>
  </si>
  <si>
    <t>515-4200</t>
  </si>
  <si>
    <t>515-4300</t>
  </si>
  <si>
    <t>515-4400</t>
  </si>
  <si>
    <t>515-4420</t>
  </si>
  <si>
    <t>515-4425</t>
  </si>
  <si>
    <t>JURY EXPENSE</t>
  </si>
  <si>
    <t>515-4430</t>
  </si>
  <si>
    <t>STATE COURT &amp; ARREST FEES</t>
  </si>
  <si>
    <t>515-4435</t>
  </si>
  <si>
    <t>BOND REFUND FOR DEFENDANT</t>
  </si>
  <si>
    <t>515-4570</t>
  </si>
  <si>
    <t>515-4575</t>
  </si>
  <si>
    <t>515-4600</t>
  </si>
  <si>
    <t>515-4750</t>
  </si>
  <si>
    <t>515-4800</t>
  </si>
  <si>
    <t>COURT TECHNOLOGY FEES EXPENSE</t>
  </si>
  <si>
    <t>515-4825</t>
  </si>
  <si>
    <t>515-4850</t>
  </si>
  <si>
    <t>BUILDING SECURITY FEES EXPENSE</t>
  </si>
  <si>
    <t>515-5100</t>
  </si>
  <si>
    <t>515-5200</t>
  </si>
  <si>
    <t>515-5300</t>
  </si>
  <si>
    <t>515-5500</t>
  </si>
  <si>
    <t>515-5700</t>
  </si>
  <si>
    <t>PAGE: 13</t>
  </si>
  <si>
    <t>515-6100</t>
  </si>
  <si>
    <t>515-6120</t>
  </si>
  <si>
    <t>515-6320</t>
  </si>
  <si>
    <t>JAIL &amp; WARRANT SERVICES</t>
  </si>
  <si>
    <t>515-6400</t>
  </si>
  <si>
    <t>515-6500</t>
  </si>
  <si>
    <t>515-6540</t>
  </si>
  <si>
    <t>515-9730</t>
  </si>
  <si>
    <t>16-CITY</t>
  </si>
  <si>
    <t>SECRETARY</t>
  </si>
  <si>
    <t>516-1000</t>
  </si>
  <si>
    <t>516-1010</t>
  </si>
  <si>
    <t>516-1020</t>
  </si>
  <si>
    <t>516-1030</t>
  </si>
  <si>
    <t>516-1050</t>
  </si>
  <si>
    <t>516-1060</t>
  </si>
  <si>
    <t>516-1070</t>
  </si>
  <si>
    <t>516-1110</t>
  </si>
  <si>
    <t>516-1145</t>
  </si>
  <si>
    <t>516-1146</t>
  </si>
  <si>
    <t>516-1148</t>
  </si>
  <si>
    <t>516-1149</t>
  </si>
  <si>
    <t>516-1300</t>
  </si>
  <si>
    <t>516-1405</t>
  </si>
  <si>
    <t>516-1500</t>
  </si>
  <si>
    <t>516-4200</t>
  </si>
  <si>
    <t>516-4300</t>
  </si>
  <si>
    <t>516-4305</t>
  </si>
  <si>
    <t>516-4400</t>
  </si>
  <si>
    <t>516-4420</t>
  </si>
  <si>
    <t>516-4500</t>
  </si>
  <si>
    <t>516-4550</t>
  </si>
  <si>
    <t>516-4565</t>
  </si>
  <si>
    <t>516-4750</t>
  </si>
  <si>
    <t>516-4825</t>
  </si>
  <si>
    <t>PAGE: 14</t>
  </si>
  <si>
    <t>516-5100</t>
  </si>
  <si>
    <t>516-5200</t>
  </si>
  <si>
    <t>516-5300</t>
  </si>
  <si>
    <t>516-5500</t>
  </si>
  <si>
    <t>516-5700</t>
  </si>
  <si>
    <t>516-6100</t>
  </si>
  <si>
    <t>516-6120</t>
  </si>
  <si>
    <t>516-6540</t>
  </si>
  <si>
    <t>17-ECONO</t>
  </si>
  <si>
    <t>MIC DEVELOPMENT</t>
  </si>
  <si>
    <t>517-1000</t>
  </si>
  <si>
    <t>ACCRUED SALARY(AUDITOR ADJ)</t>
  </si>
  <si>
    <t>517-1010</t>
  </si>
  <si>
    <t>517-1020</t>
  </si>
  <si>
    <t>517-1030</t>
  </si>
  <si>
    <t>517-1050</t>
  </si>
  <si>
    <t>517-1060</t>
  </si>
  <si>
    <t>517-1070</t>
  </si>
  <si>
    <t>517-1100</t>
  </si>
  <si>
    <t>ECO DEV DIRECTOR</t>
  </si>
  <si>
    <t>517-1115</t>
  </si>
  <si>
    <t>EVENT COORDINATOR</t>
  </si>
  <si>
    <t>517-1144</t>
  </si>
  <si>
    <t>517-1145</t>
  </si>
  <si>
    <t>517-1146</t>
  </si>
  <si>
    <t>517-1148</t>
  </si>
  <si>
    <t>517-1149</t>
  </si>
  <si>
    <t>517-1274</t>
  </si>
  <si>
    <t>517-1300</t>
  </si>
  <si>
    <t>517-1405</t>
  </si>
  <si>
    <t>517-1500</t>
  </si>
  <si>
    <t>517-1550</t>
  </si>
  <si>
    <t>COMM &amp; MKTG</t>
  </si>
  <si>
    <t>517-4000</t>
  </si>
  <si>
    <t>517-4200</t>
  </si>
  <si>
    <t>517-4300</t>
  </si>
  <si>
    <t>517-4305</t>
  </si>
  <si>
    <t>517-4350</t>
  </si>
  <si>
    <t>SALES TAX REBATE</t>
  </si>
  <si>
    <t>517-4360</t>
  </si>
  <si>
    <t>PROPERTY TAX REBATE</t>
  </si>
  <si>
    <t>517-4400</t>
  </si>
  <si>
    <t>PAGE: 15</t>
  </si>
  <si>
    <t>517-4420</t>
  </si>
  <si>
    <t>517-4550</t>
  </si>
  <si>
    <t>517-4570</t>
  </si>
  <si>
    <t>517-4575</t>
  </si>
  <si>
    <t>517-4600</t>
  </si>
  <si>
    <t>517-4700</t>
  </si>
  <si>
    <t>517-4715</t>
  </si>
  <si>
    <t>517-4750</t>
  </si>
  <si>
    <t>517-4825</t>
  </si>
  <si>
    <t>517-5100</t>
  </si>
  <si>
    <t>517-5200</t>
  </si>
  <si>
    <t>517-5300</t>
  </si>
  <si>
    <t>517-5500</t>
  </si>
  <si>
    <t>517-5700</t>
  </si>
  <si>
    <t>517-6100</t>
  </si>
  <si>
    <t>517-6120</t>
  </si>
  <si>
    <t>517-6400</t>
  </si>
  <si>
    <t>517-6500</t>
  </si>
  <si>
    <t>517-6540</t>
  </si>
  <si>
    <t>517-9730</t>
  </si>
  <si>
    <t>18-LEGAL</t>
  </si>
  <si>
    <t>518-1000</t>
  </si>
  <si>
    <t>ACCRUED SALARY EXPENSE (AUDITO</t>
  </si>
  <si>
    <t>518-1010</t>
  </si>
  <si>
    <t>STATE UNEMPLOYMENT TAX (TWC)</t>
  </si>
  <si>
    <t>518-1020</t>
  </si>
  <si>
    <t>SOCIAL SECURITY/MEDICARE</t>
  </si>
  <si>
    <t>518-1030</t>
  </si>
  <si>
    <t>518-1050</t>
  </si>
  <si>
    <t>HEALTH, DENTAL, &amp; LIFE INSURAN</t>
  </si>
  <si>
    <t>518-1060</t>
  </si>
  <si>
    <t>518-1070</t>
  </si>
  <si>
    <t>518-1080</t>
  </si>
  <si>
    <t>DEFERRED COMPENSATION</t>
  </si>
  <si>
    <t>518-1100</t>
  </si>
  <si>
    <t>CITY ATTORNEY</t>
  </si>
  <si>
    <t>518-1115</t>
  </si>
  <si>
    <t>LEGAL ASSISTANT</t>
  </si>
  <si>
    <t>518-1138</t>
  </si>
  <si>
    <t>518-1144</t>
  </si>
  <si>
    <t>518-1145</t>
  </si>
  <si>
    <t>PAGE: 16</t>
  </si>
  <si>
    <t>518-1146</t>
  </si>
  <si>
    <t>518-1148</t>
  </si>
  <si>
    <t>518-1149</t>
  </si>
  <si>
    <t>518-1300</t>
  </si>
  <si>
    <t>518-1405</t>
  </si>
  <si>
    <t>518-1500</t>
  </si>
  <si>
    <t>518-4000</t>
  </si>
  <si>
    <t>518-4110</t>
  </si>
  <si>
    <t>518-4200</t>
  </si>
  <si>
    <t>518-4300</t>
  </si>
  <si>
    <t>518-4305</t>
  </si>
  <si>
    <t>518-4400</t>
  </si>
  <si>
    <t>518-4420</t>
  </si>
  <si>
    <t>518-4550</t>
  </si>
  <si>
    <t>518-4570</t>
  </si>
  <si>
    <t>518-4575</t>
  </si>
  <si>
    <t>BANK CHARGES/CREDIT CARD FEES</t>
  </si>
  <si>
    <t>518-4600</t>
  </si>
  <si>
    <t>TELEPHONE/INTERNET/CABLE</t>
  </si>
  <si>
    <t>518-4700</t>
  </si>
  <si>
    <t>518-4750</t>
  </si>
  <si>
    <t>518-4825</t>
  </si>
  <si>
    <t>518-5100</t>
  </si>
  <si>
    <t>518-5200</t>
  </si>
  <si>
    <t>518-5300</t>
  </si>
  <si>
    <t>518-5500</t>
  </si>
  <si>
    <t>518-5700</t>
  </si>
  <si>
    <t>518-6100</t>
  </si>
  <si>
    <t>518-6120</t>
  </si>
  <si>
    <t>518-6140</t>
  </si>
  <si>
    <t>EXPENSES/SALE OF ASSETS</t>
  </si>
  <si>
    <t>518-6400</t>
  </si>
  <si>
    <t>518-6500</t>
  </si>
  <si>
    <t>518-6540</t>
  </si>
  <si>
    <t>518-6700</t>
  </si>
  <si>
    <t>SETTLEMENT</t>
  </si>
  <si>
    <t>518-9700</t>
  </si>
  <si>
    <t>518-9730</t>
  </si>
  <si>
    <t>PAGE: 17</t>
  </si>
  <si>
    <t>============</t>
  </si>
  <si>
    <t>520-1000</t>
  </si>
  <si>
    <t>520-1010</t>
  </si>
  <si>
    <t>520-1020</t>
  </si>
  <si>
    <t>520-1030</t>
  </si>
  <si>
    <t>520-1050</t>
  </si>
  <si>
    <t>520-1060</t>
  </si>
  <si>
    <t>520-1070</t>
  </si>
  <si>
    <t>520-1145</t>
  </si>
  <si>
    <t>520-1146</t>
  </si>
  <si>
    <t>520-1147</t>
  </si>
  <si>
    <t>520-1148</t>
  </si>
  <si>
    <t>520-1149</t>
  </si>
  <si>
    <t>520-1200</t>
  </si>
  <si>
    <t>POLICE CHIEF</t>
  </si>
  <si>
    <t>520-1205</t>
  </si>
  <si>
    <t>POLICE CAPTAIN</t>
  </si>
  <si>
    <t>520-1210</t>
  </si>
  <si>
    <t>POLICE LIEUTENANT</t>
  </si>
  <si>
    <t>520-1220</t>
  </si>
  <si>
    <t>DETECTIVE/SARGEANT</t>
  </si>
  <si>
    <t>520-1221</t>
  </si>
  <si>
    <t>POLICE SARGEANT PATROL</t>
  </si>
  <si>
    <t>520-1230</t>
  </si>
  <si>
    <t>POLICE OFFICERS</t>
  </si>
  <si>
    <t>520-1235</t>
  </si>
  <si>
    <t>SRO-SCHOOL RESOURCE OFFICER</t>
  </si>
  <si>
    <t>520-1240</t>
  </si>
  <si>
    <t>520-1250</t>
  </si>
  <si>
    <t>POLICE SECRETARY</t>
  </si>
  <si>
    <t>520-1260</t>
  </si>
  <si>
    <t>ANIMAL CONTROL/POLICE OFFICER</t>
  </si>
  <si>
    <t>520-1274</t>
  </si>
  <si>
    <t>520-1300</t>
  </si>
  <si>
    <t>520-1400</t>
  </si>
  <si>
    <t>BILINGUAL PAY</t>
  </si>
  <si>
    <t>520-1405</t>
  </si>
  <si>
    <t>520-1450</t>
  </si>
  <si>
    <t>CERTIFICATION PAY</t>
  </si>
  <si>
    <t>520-1455</t>
  </si>
  <si>
    <t>EDUCATION PAY</t>
  </si>
  <si>
    <t>520-1500</t>
  </si>
  <si>
    <t>520-1591</t>
  </si>
  <si>
    <t>STANDBY TIME (SCHOOL)</t>
  </si>
  <si>
    <t>520-4000</t>
  </si>
  <si>
    <t>520-4100</t>
  </si>
  <si>
    <t>520-4110</t>
  </si>
  <si>
    <t>BALLISTIC VEST PROGRAM</t>
  </si>
  <si>
    <t>520-4200</t>
  </si>
  <si>
    <t>520-4221</t>
  </si>
  <si>
    <t>CAPCOG GRANT GENERATOR</t>
  </si>
  <si>
    <t>520-4300</t>
  </si>
  <si>
    <t>520-4320</t>
  </si>
  <si>
    <t>LEOSE EXPENSE</t>
  </si>
  <si>
    <t>520-4330</t>
  </si>
  <si>
    <t>CAPCO EXPENSE</t>
  </si>
  <si>
    <t>520-4340</t>
  </si>
  <si>
    <t>CROSSING GUARD EXPENSE</t>
  </si>
  <si>
    <t>520-4400</t>
  </si>
  <si>
    <t>520-4420</t>
  </si>
  <si>
    <t>520-4550</t>
  </si>
  <si>
    <t>PAGE: 18</t>
  </si>
  <si>
    <t>520-4570</t>
  </si>
  <si>
    <t>520-4600</t>
  </si>
  <si>
    <t>520-4650</t>
  </si>
  <si>
    <t>ELECTRICITY</t>
  </si>
  <si>
    <t>520-4670</t>
  </si>
  <si>
    <t>WATER SERVICE</t>
  </si>
  <si>
    <t>520-4675</t>
  </si>
  <si>
    <t>SEWER SERVICE</t>
  </si>
  <si>
    <t>520-4700</t>
  </si>
  <si>
    <t>520-4725</t>
  </si>
  <si>
    <t>520-4740</t>
  </si>
  <si>
    <t>ANIMAL CONTROL</t>
  </si>
  <si>
    <t>520-4745</t>
  </si>
  <si>
    <t>POLICE K-9</t>
  </si>
  <si>
    <t>520-4750</t>
  </si>
  <si>
    <t>520-4775</t>
  </si>
  <si>
    <t>MEDICAL</t>
  </si>
  <si>
    <t>520-4780</t>
  </si>
  <si>
    <t>MISC BUILDING EXPENSES</t>
  </si>
  <si>
    <t>520-4800</t>
  </si>
  <si>
    <t>NATIONAL NIGHT OUT</t>
  </si>
  <si>
    <t>520-4825</t>
  </si>
  <si>
    <t>520-5100</t>
  </si>
  <si>
    <t>520-5200</t>
  </si>
  <si>
    <t>520-5300</t>
  </si>
  <si>
    <t>520-5301</t>
  </si>
  <si>
    <t>QUALIFYING AMMUNITION</t>
  </si>
  <si>
    <t>520-5305</t>
  </si>
  <si>
    <t>HOMELAND SECURITY GRANT SUPPLY</t>
  </si>
  <si>
    <t>520-5400</t>
  </si>
  <si>
    <t>520-5500</t>
  </si>
  <si>
    <t>520-5700</t>
  </si>
  <si>
    <t>520-6100</t>
  </si>
  <si>
    <t>520-6120</t>
  </si>
  <si>
    <t>520-6150</t>
  </si>
  <si>
    <t>PD 911 SERVICE</t>
  </si>
  <si>
    <t>520-6200</t>
  </si>
  <si>
    <t>RADIOS / LCRA</t>
  </si>
  <si>
    <t>520-6500</t>
  </si>
  <si>
    <t>520-6540</t>
  </si>
  <si>
    <t>520-6600</t>
  </si>
  <si>
    <t>DISPOSAL SERVICE</t>
  </si>
  <si>
    <t>520-9000</t>
  </si>
  <si>
    <t>520-9730</t>
  </si>
  <si>
    <t>520-9740</t>
  </si>
  <si>
    <t>EMERGENCY &amp; VEHICLE EQUIP</t>
  </si>
  <si>
    <t>520-9745</t>
  </si>
  <si>
    <t>POLICE CAR</t>
  </si>
  <si>
    <t>520-9750</t>
  </si>
  <si>
    <t>COMMUNICATIONS EQUIP</t>
  </si>
  <si>
    <t>520-9760</t>
  </si>
  <si>
    <t>PAGE: 19</t>
  </si>
  <si>
    <t>22-CODE</t>
  </si>
  <si>
    <t>ENFORCEMENT</t>
  </si>
  <si>
    <t>522-1000</t>
  </si>
  <si>
    <t>522-1010</t>
  </si>
  <si>
    <t>522-1020</t>
  </si>
  <si>
    <t>522-1030</t>
  </si>
  <si>
    <t>522-1050</t>
  </si>
  <si>
    <t>522-1060</t>
  </si>
  <si>
    <t>522-1070</t>
  </si>
  <si>
    <t>522-1145</t>
  </si>
  <si>
    <t>522-1146</t>
  </si>
  <si>
    <t>522-1147</t>
  </si>
  <si>
    <t>522-1148</t>
  </si>
  <si>
    <t>522-1149</t>
  </si>
  <si>
    <t>522-1240</t>
  </si>
  <si>
    <t>522-1260</t>
  </si>
  <si>
    <t>522-1274</t>
  </si>
  <si>
    <t>522-1300</t>
  </si>
  <si>
    <t>522-1405</t>
  </si>
  <si>
    <t>522-1450</t>
  </si>
  <si>
    <t>522-4000</t>
  </si>
  <si>
    <t>522-4100</t>
  </si>
  <si>
    <t>522-4200</t>
  </si>
  <si>
    <t>522-4300</t>
  </si>
  <si>
    <t>522-4400</t>
  </si>
  <si>
    <t>522-4550</t>
  </si>
  <si>
    <t>522-4570</t>
  </si>
  <si>
    <t>522-4600</t>
  </si>
  <si>
    <t>522-4700</t>
  </si>
  <si>
    <t>522-4725</t>
  </si>
  <si>
    <t>522-4740</t>
  </si>
  <si>
    <t>522-4750</t>
  </si>
  <si>
    <t>522-4775</t>
  </si>
  <si>
    <t>522-4825</t>
  </si>
  <si>
    <t>522-5200</t>
  </si>
  <si>
    <t>522-5300</t>
  </si>
  <si>
    <t>522-5400</t>
  </si>
  <si>
    <t>PAGE: 20</t>
  </si>
  <si>
    <t>522-6100</t>
  </si>
  <si>
    <t>522-6500</t>
  </si>
  <si>
    <t>522-6540</t>
  </si>
  <si>
    <t>522-6600</t>
  </si>
  <si>
    <t>522-9000</t>
  </si>
  <si>
    <t>522-9740</t>
  </si>
  <si>
    <t>522-9760</t>
  </si>
  <si>
    <t>25-DISPA</t>
  </si>
  <si>
    <t>TCHING</t>
  </si>
  <si>
    <t>======</t>
  </si>
  <si>
    <t>525-1000</t>
  </si>
  <si>
    <t>525-1010</t>
  </si>
  <si>
    <t>525-1020</t>
  </si>
  <si>
    <t>525-1030</t>
  </si>
  <si>
    <t>525-1050</t>
  </si>
  <si>
    <t>525-1060</t>
  </si>
  <si>
    <t>525-1070</t>
  </si>
  <si>
    <t>525-1145</t>
  </si>
  <si>
    <t>525-1146</t>
  </si>
  <si>
    <t>525-1147</t>
  </si>
  <si>
    <t>525-1148</t>
  </si>
  <si>
    <t>525-1149</t>
  </si>
  <si>
    <t>525-1160</t>
  </si>
  <si>
    <t>CURRENT DISPATCH INCENTIVE</t>
  </si>
  <si>
    <t>525-1260</t>
  </si>
  <si>
    <t>DISPATCH SUPERVISOR</t>
  </si>
  <si>
    <t>525-1261</t>
  </si>
  <si>
    <t>DISPATCHERS</t>
  </si>
  <si>
    <t>525-1270</t>
  </si>
  <si>
    <t>525-1274</t>
  </si>
  <si>
    <t>525-1300</t>
  </si>
  <si>
    <t>525-1400</t>
  </si>
  <si>
    <t>525-1405</t>
  </si>
  <si>
    <t>525-1450</t>
  </si>
  <si>
    <t>525-1455</t>
  </si>
  <si>
    <t>525-1500</t>
  </si>
  <si>
    <t>PAGE: 21</t>
  </si>
  <si>
    <t>525-4110</t>
  </si>
  <si>
    <t>525-4200</t>
  </si>
  <si>
    <t>525-4300</t>
  </si>
  <si>
    <t>525-4420</t>
  </si>
  <si>
    <t>525-4700</t>
  </si>
  <si>
    <t>REPAIRS &amp; MAINTENANCE</t>
  </si>
  <si>
    <t>525-4775</t>
  </si>
  <si>
    <t>525-4825</t>
  </si>
  <si>
    <t>525-5200</t>
  </si>
  <si>
    <t>525-5300</t>
  </si>
  <si>
    <t>525-5500</t>
  </si>
  <si>
    <t>525-5700</t>
  </si>
  <si>
    <t>525-6150</t>
  </si>
  <si>
    <t>911 SERVICE</t>
  </si>
  <si>
    <t>525-6500</t>
  </si>
  <si>
    <t>525-6540</t>
  </si>
  <si>
    <t>525-9000</t>
  </si>
  <si>
    <t>525-9730</t>
  </si>
  <si>
    <t>525-9750</t>
  </si>
  <si>
    <t>COMMUNICATIONS EQUIPMENT</t>
  </si>
  <si>
    <t>C WORKS STREETS</t>
  </si>
  <si>
    <t>530-1000</t>
  </si>
  <si>
    <t>530-1010</t>
  </si>
  <si>
    <t>530-1020</t>
  </si>
  <si>
    <t>530-1030</t>
  </si>
  <si>
    <t>530-1050</t>
  </si>
  <si>
    <t>530-1060</t>
  </si>
  <si>
    <t>530-1070</t>
  </si>
  <si>
    <t>530-1100</t>
  </si>
  <si>
    <t>DIRECTOR OF PUBLIC WORKS</t>
  </si>
  <si>
    <t>530-1145</t>
  </si>
  <si>
    <t>530-1146</t>
  </si>
  <si>
    <t>530-1147</t>
  </si>
  <si>
    <t>WORK BOOT ALLOWANCE</t>
  </si>
  <si>
    <t>530-1148</t>
  </si>
  <si>
    <t>530-1149</t>
  </si>
  <si>
    <t>530-1274</t>
  </si>
  <si>
    <t>PAGE: 22</t>
  </si>
  <si>
    <t>530-1310</t>
  </si>
  <si>
    <t>ST SUPERINTENDENT</t>
  </si>
  <si>
    <t>530-1320</t>
  </si>
  <si>
    <t>ST CREW LEADER</t>
  </si>
  <si>
    <t>530-1330</t>
  </si>
  <si>
    <t>ST MAINTENANCE</t>
  </si>
  <si>
    <t>530-1331</t>
  </si>
  <si>
    <t>SEASONAL STREET LABORER</t>
  </si>
  <si>
    <t>530-1332</t>
  </si>
  <si>
    <t>530-1405</t>
  </si>
  <si>
    <t>530-1500</t>
  </si>
  <si>
    <t>530-1591</t>
  </si>
  <si>
    <t>STANDBY TIME</t>
  </si>
  <si>
    <t>530-4000</t>
  </si>
  <si>
    <t>530-4100</t>
  </si>
  <si>
    <t>BAD DEBT WRITE-OFFS TRASH/TAX</t>
  </si>
  <si>
    <t>530-4110</t>
  </si>
  <si>
    <t>530-4200</t>
  </si>
  <si>
    <t>530-4300</t>
  </si>
  <si>
    <t>530-4400</t>
  </si>
  <si>
    <t>530-4525</t>
  </si>
  <si>
    <t>530-4550</t>
  </si>
  <si>
    <t>530-4570</t>
  </si>
  <si>
    <t>RENTAL/LEASE EXPENSE</t>
  </si>
  <si>
    <t>530-4600</t>
  </si>
  <si>
    <t>530-4650</t>
  </si>
  <si>
    <t>530-4670</t>
  </si>
  <si>
    <t>WATER SERVICES</t>
  </si>
  <si>
    <t>530-4700</t>
  </si>
  <si>
    <t>530-4710</t>
  </si>
  <si>
    <t>MAINTENANCE CITY OWNED LIGHTS</t>
  </si>
  <si>
    <t>530-4715</t>
  </si>
  <si>
    <t>UNANTICIPATED MAINT/REPAIRS</t>
  </si>
  <si>
    <t>530-4725</t>
  </si>
  <si>
    <t>530-4730</t>
  </si>
  <si>
    <t>OAK WILT SUPPRESSION</t>
  </si>
  <si>
    <t>530-4735</t>
  </si>
  <si>
    <t>VEHICLE SAFETY EQUIPMENT</t>
  </si>
  <si>
    <t>530-4750</t>
  </si>
  <si>
    <t>530-4825</t>
  </si>
  <si>
    <t>530-5100</t>
  </si>
  <si>
    <t>530-5300</t>
  </si>
  <si>
    <t>530-5305</t>
  </si>
  <si>
    <t>SMALL TOOLS</t>
  </si>
  <si>
    <t>530-5400</t>
  </si>
  <si>
    <t>530-5410</t>
  </si>
  <si>
    <t>STREET MATERIALS</t>
  </si>
  <si>
    <t>530-5420</t>
  </si>
  <si>
    <t>STREET SIGNS</t>
  </si>
  <si>
    <t>530-5430</t>
  </si>
  <si>
    <t>CHEMICALS</t>
  </si>
  <si>
    <t>530-5500</t>
  </si>
  <si>
    <t>530-5700</t>
  </si>
  <si>
    <t>PAGE: 23</t>
  </si>
  <si>
    <t>530-6100</t>
  </si>
  <si>
    <t>530-6130</t>
  </si>
  <si>
    <t>ENGINEERING/PLANNING SERVICES</t>
  </si>
  <si>
    <t>530-6135</t>
  </si>
  <si>
    <t>530-6500</t>
  </si>
  <si>
    <t>530-6540</t>
  </si>
  <si>
    <t>530-6600</t>
  </si>
  <si>
    <t>530-6700</t>
  </si>
  <si>
    <t>STREET LIGHT INSTALLATION</t>
  </si>
  <si>
    <t>530-6720</t>
  </si>
  <si>
    <t>STREET LIGHT MAINTENANCE</t>
  </si>
  <si>
    <t>530-6750</t>
  </si>
  <si>
    <t>STREET OVERLAYS</t>
  </si>
  <si>
    <t>530-6751</t>
  </si>
  <si>
    <t>CAPITOL METRO FUNDS</t>
  </si>
  <si>
    <t>530-6752</t>
  </si>
  <si>
    <t>TRANSFER FROM RESERVES/PAVING</t>
  </si>
  <si>
    <t>530-6753</t>
  </si>
  <si>
    <t>530-9720</t>
  </si>
  <si>
    <t>MACHINERY &amp; EQUIPMENT</t>
  </si>
  <si>
    <t>530-9750</t>
  </si>
  <si>
    <t>CONTINUING STREET REHABILITATI</t>
  </si>
  <si>
    <t>530-9760</t>
  </si>
  <si>
    <t>530-9805</t>
  </si>
  <si>
    <t>530-9807</t>
  </si>
  <si>
    <t>SET ASIDE-LOHMAN MAINT.</t>
  </si>
  <si>
    <t>531-4000</t>
  </si>
  <si>
    <t>531-4100</t>
  </si>
  <si>
    <t>BAD DEBT WRITE OFF-TRASH/TAX</t>
  </si>
  <si>
    <t>531-4200</t>
  </si>
  <si>
    <t>531-4570</t>
  </si>
  <si>
    <t>531-4650</t>
  </si>
  <si>
    <t>531-4670</t>
  </si>
  <si>
    <t>531-4700</t>
  </si>
  <si>
    <t>531-4750</t>
  </si>
  <si>
    <t>531-5300</t>
  </si>
  <si>
    <t>531-5400</t>
  </si>
  <si>
    <t>531-5500</t>
  </si>
  <si>
    <t>531-5700</t>
  </si>
  <si>
    <t>PAGE: 24</t>
  </si>
  <si>
    <t>531-6100</t>
  </si>
  <si>
    <t>PROFESSIONAL SERVICE</t>
  </si>
  <si>
    <t>531-6600</t>
  </si>
  <si>
    <t>531-6700</t>
  </si>
  <si>
    <t>HAZARDOUS WASTE SERVICE</t>
  </si>
  <si>
    <t>531-9315</t>
  </si>
  <si>
    <t>IMPROVEMENTS</t>
  </si>
  <si>
    <t>531-9320</t>
  </si>
  <si>
    <t>CAPITAL OUTLAY</t>
  </si>
  <si>
    <t>531-9720</t>
  </si>
  <si>
    <t>32-BUILD</t>
  </si>
  <si>
    <t>ING MAINTENANCE</t>
  </si>
  <si>
    <t>532-1149</t>
  </si>
  <si>
    <t>532-4000</t>
  </si>
  <si>
    <t>532-4650</t>
  </si>
  <si>
    <t>532-4670</t>
  </si>
  <si>
    <t>WATER SERVICE-CITY HALL</t>
  </si>
  <si>
    <t>532-4675</t>
  </si>
  <si>
    <t>SEWER SERVICE-CITY HALL</t>
  </si>
  <si>
    <t>532-4700</t>
  </si>
  <si>
    <t>532-4715</t>
  </si>
  <si>
    <t>532-4750</t>
  </si>
  <si>
    <t>532-5300</t>
  </si>
  <si>
    <t>532-5500</t>
  </si>
  <si>
    <t>532-5700</t>
  </si>
  <si>
    <t>532-6135</t>
  </si>
  <si>
    <t>532-6500</t>
  </si>
  <si>
    <t>532-6600</t>
  </si>
  <si>
    <t>CITY HALL REMODELING EXPENSE</t>
  </si>
  <si>
    <t>PAGE: 25</t>
  </si>
  <si>
    <t>34-PARK</t>
  </si>
  <si>
    <t>534-1000</t>
  </si>
  <si>
    <t>534-1010</t>
  </si>
  <si>
    <t>534-1020</t>
  </si>
  <si>
    <t>534-1030</t>
  </si>
  <si>
    <t>534-1050</t>
  </si>
  <si>
    <t>534-1060</t>
  </si>
  <si>
    <t>534-1070</t>
  </si>
  <si>
    <t>534-1100</t>
  </si>
  <si>
    <t>RECREATION COORINATOR</t>
  </si>
  <si>
    <t>534-1144</t>
  </si>
  <si>
    <t>534-1145</t>
  </si>
  <si>
    <t>534-1146</t>
  </si>
  <si>
    <t>534-1147</t>
  </si>
  <si>
    <t>534-1148</t>
  </si>
  <si>
    <t>534-1149</t>
  </si>
  <si>
    <t>534-1274</t>
  </si>
  <si>
    <t>534-1300</t>
  </si>
  <si>
    <t>534-1405</t>
  </si>
  <si>
    <t>534-1500</t>
  </si>
  <si>
    <t>534-1540</t>
  </si>
  <si>
    <t>PARKS &amp; REC DIRECTOR</t>
  </si>
  <si>
    <t>534-1541</t>
  </si>
  <si>
    <t>PR MANAGER</t>
  </si>
  <si>
    <t>534-1561</t>
  </si>
  <si>
    <t>CREW LEADERS</t>
  </si>
  <si>
    <t>534-1570</t>
  </si>
  <si>
    <t>PR MAINTENANCE</t>
  </si>
  <si>
    <t>534-1572</t>
  </si>
  <si>
    <t>PR AMBASSADOR (PT)</t>
  </si>
  <si>
    <t>534-1575</t>
  </si>
  <si>
    <t>INSPECTOR/MANAGER</t>
  </si>
  <si>
    <t>534-1580</t>
  </si>
  <si>
    <t>PARK AMBASSADOR</t>
  </si>
  <si>
    <t>534-1591</t>
  </si>
  <si>
    <t>534-4000</t>
  </si>
  <si>
    <t>534-4110</t>
  </si>
  <si>
    <t>534-4200</t>
  </si>
  <si>
    <t>534-4300</t>
  </si>
  <si>
    <t>534-4325</t>
  </si>
  <si>
    <t>DRUG TESTING</t>
  </si>
  <si>
    <t>534-4400</t>
  </si>
  <si>
    <t>534-4570</t>
  </si>
  <si>
    <t>534-4600</t>
  </si>
  <si>
    <t>534-4650</t>
  </si>
  <si>
    <t>534-4670</t>
  </si>
  <si>
    <t>534-4675</t>
  </si>
  <si>
    <t>534-4700</t>
  </si>
  <si>
    <t>534-4715</t>
  </si>
  <si>
    <t>534-4725</t>
  </si>
  <si>
    <t>534-4730</t>
  </si>
  <si>
    <t>534-4750</t>
  </si>
  <si>
    <t>PAGE: 26</t>
  </si>
  <si>
    <t>534-4757</t>
  </si>
  <si>
    <t>WATER TAP &amp; EXTENSION EXPENSE</t>
  </si>
  <si>
    <t>534-4825</t>
  </si>
  <si>
    <t>INFORMATION TEHNOLOGY</t>
  </si>
  <si>
    <t>534-5200</t>
  </si>
  <si>
    <t>534-5300</t>
  </si>
  <si>
    <t>534-5305</t>
  </si>
  <si>
    <t>534-5400</t>
  </si>
  <si>
    <t>534-5430</t>
  </si>
  <si>
    <t>534-5500</t>
  </si>
  <si>
    <t>534-5700</t>
  </si>
  <si>
    <t>534-6100</t>
  </si>
  <si>
    <t>534-6135</t>
  </si>
  <si>
    <t>534-6500</t>
  </si>
  <si>
    <t>534-6540</t>
  </si>
  <si>
    <t>534-9000</t>
  </si>
  <si>
    <t>534-9700</t>
  </si>
  <si>
    <t>534-9705</t>
  </si>
  <si>
    <t>TURNBACK CONSERVANCY TRAILS</t>
  </si>
  <si>
    <t>534-9710</t>
  </si>
  <si>
    <t>LV SUNSET PARK</t>
  </si>
  <si>
    <t>534-9715</t>
  </si>
  <si>
    <t>POCKET PARKS</t>
  </si>
  <si>
    <t>534-9720</t>
  </si>
  <si>
    <t>534-9730</t>
  </si>
  <si>
    <t>534-9740</t>
  </si>
  <si>
    <t>BUILDING IMPROVEMENTS</t>
  </si>
  <si>
    <t>534-9760</t>
  </si>
  <si>
    <t>===</t>
  </si>
  <si>
    <t>535-1000</t>
  </si>
  <si>
    <t>535-1010</t>
  </si>
  <si>
    <t>535-1020</t>
  </si>
  <si>
    <t>535-1030</t>
  </si>
  <si>
    <t>535-1050</t>
  </si>
  <si>
    <t>535-1070</t>
  </si>
  <si>
    <t>535-1148</t>
  </si>
  <si>
    <t>535-1149</t>
  </si>
  <si>
    <t>535-1274</t>
  </si>
  <si>
    <t>535-1310</t>
  </si>
  <si>
    <t>POOL MANAGER</t>
  </si>
  <si>
    <t>535-1320</t>
  </si>
  <si>
    <t>LIFE GUARDS</t>
  </si>
  <si>
    <t>PAGE: 27</t>
  </si>
  <si>
    <t>535-1405</t>
  </si>
  <si>
    <t>535-1500</t>
  </si>
  <si>
    <t>535-1591</t>
  </si>
  <si>
    <t>535-4000</t>
  </si>
  <si>
    <t>535-4110</t>
  </si>
  <si>
    <t>535-4300</t>
  </si>
  <si>
    <t>535-4310</t>
  </si>
  <si>
    <t>RED CROSS SWIM CLASS FEES</t>
  </si>
  <si>
    <t>535-4325</t>
  </si>
  <si>
    <t>535-4550</t>
  </si>
  <si>
    <t>535-4600</t>
  </si>
  <si>
    <t>535-4650</t>
  </si>
  <si>
    <t>535-4670</t>
  </si>
  <si>
    <t>535-4675</t>
  </si>
  <si>
    <t>535-4700</t>
  </si>
  <si>
    <t>535-4715</t>
  </si>
  <si>
    <t>535-4750</t>
  </si>
  <si>
    <t>535-4775</t>
  </si>
  <si>
    <t>POOL PASS/PARTY DEP REFUNDS</t>
  </si>
  <si>
    <t>535-4825</t>
  </si>
  <si>
    <t>535-5300</t>
  </si>
  <si>
    <t>535-5350</t>
  </si>
  <si>
    <t>CONSESSION PURCHASES</t>
  </si>
  <si>
    <t>535-5430</t>
  </si>
  <si>
    <t>535-5500</t>
  </si>
  <si>
    <t>535-5700</t>
  </si>
  <si>
    <t>535-6100</t>
  </si>
  <si>
    <t>535-6500</t>
  </si>
  <si>
    <t>535-9000</t>
  </si>
  <si>
    <t>535-9310</t>
  </si>
  <si>
    <t>PARK IMPROVEMENTS</t>
  </si>
  <si>
    <t>535-9320</t>
  </si>
  <si>
    <t>LAND PURCHASE</t>
  </si>
  <si>
    <t>535-9720</t>
  </si>
  <si>
    <t>535-9730</t>
  </si>
  <si>
    <t>535-9750</t>
  </si>
  <si>
    <t>POOL REPLASTER</t>
  </si>
  <si>
    <t>PAGE: 28</t>
  </si>
  <si>
    <t>=============</t>
  </si>
  <si>
    <t>545-1000</t>
  </si>
  <si>
    <t>545-1010</t>
  </si>
  <si>
    <t>545-1020</t>
  </si>
  <si>
    <t>545-1030</t>
  </si>
  <si>
    <t>545-1050</t>
  </si>
  <si>
    <t>545-1060</t>
  </si>
  <si>
    <t>545-1070</t>
  </si>
  <si>
    <t>545-1120</t>
  </si>
  <si>
    <t>LIBRARY DIRECTOR</t>
  </si>
  <si>
    <t>545-1130</t>
  </si>
  <si>
    <t>ASSISTANT LIBRARIANS</t>
  </si>
  <si>
    <t>545-1135</t>
  </si>
  <si>
    <t>SUBSTITUTE/WEEKEND LIBRARIAN</t>
  </si>
  <si>
    <t>545-1145</t>
  </si>
  <si>
    <t>545-1146</t>
  </si>
  <si>
    <t>545-1148</t>
  </si>
  <si>
    <t>545-1149</t>
  </si>
  <si>
    <t>545-1274</t>
  </si>
  <si>
    <t>545-1300</t>
  </si>
  <si>
    <t>545-1405</t>
  </si>
  <si>
    <t>545-1500</t>
  </si>
  <si>
    <t>545-4000</t>
  </si>
  <si>
    <t>545-4200</t>
  </si>
  <si>
    <t>545-4300</t>
  </si>
  <si>
    <t>545-4331</t>
  </si>
  <si>
    <t>LIBRARY  GRANT (TOCKER)</t>
  </si>
  <si>
    <t>545-4332</t>
  </si>
  <si>
    <t>TX BOOK FESTIVAL GRANT EXPENSE</t>
  </si>
  <si>
    <t>545-4333</t>
  </si>
  <si>
    <t>TEXSHARE DATABASE FEES</t>
  </si>
  <si>
    <t>545-4400</t>
  </si>
  <si>
    <t>545-4420</t>
  </si>
  <si>
    <t>545-4570</t>
  </si>
  <si>
    <t>545-4600</t>
  </si>
  <si>
    <t>545-4670</t>
  </si>
  <si>
    <t>545-4675</t>
  </si>
  <si>
    <t>545-4700</t>
  </si>
  <si>
    <t>545-4750</t>
  </si>
  <si>
    <t>545-4800</t>
  </si>
  <si>
    <t>PROGRAMS</t>
  </si>
  <si>
    <t>545-4825</t>
  </si>
  <si>
    <t>545-5100</t>
  </si>
  <si>
    <t>545-5200</t>
  </si>
  <si>
    <t>545-5300</t>
  </si>
  <si>
    <t>545-5500</t>
  </si>
  <si>
    <t>545-5700</t>
  </si>
  <si>
    <t>PAGE: 29</t>
  </si>
  <si>
    <t>545-6100</t>
  </si>
  <si>
    <t>545-6500</t>
  </si>
  <si>
    <t>545-6540</t>
  </si>
  <si>
    <t>545-9700</t>
  </si>
  <si>
    <t>545-9730</t>
  </si>
  <si>
    <t>50-CITY</t>
  </si>
  <si>
    <t>COUNCIL MEMBERS</t>
  </si>
  <si>
    <t>550-1148</t>
  </si>
  <si>
    <t>550-1149</t>
  </si>
  <si>
    <t>550-4200</t>
  </si>
  <si>
    <t>550-4300</t>
  </si>
  <si>
    <t>550-4400</t>
  </si>
  <si>
    <t>550-4410</t>
  </si>
  <si>
    <t>COMMITTEE EXPENSES</t>
  </si>
  <si>
    <t>550-4750</t>
  </si>
  <si>
    <t>550-4825</t>
  </si>
  <si>
    <t>550-5300</t>
  </si>
  <si>
    <t>550-5500</t>
  </si>
  <si>
    <t>550-5700</t>
  </si>
  <si>
    <t>550-6100</t>
  </si>
  <si>
    <t>550-6120</t>
  </si>
  <si>
    <t>550-6500</t>
  </si>
  <si>
    <t>550-6540</t>
  </si>
  <si>
    <t>PAGE: 30</t>
  </si>
  <si>
    <t>58-GENER</t>
  </si>
  <si>
    <t>AL FUND INFO TECH</t>
  </si>
  <si>
    <t>=================</t>
  </si>
  <si>
    <t>558-1000</t>
  </si>
  <si>
    <t>558-1010</t>
  </si>
  <si>
    <t>558-1020</t>
  </si>
  <si>
    <t>558-1030</t>
  </si>
  <si>
    <t>558-1050</t>
  </si>
  <si>
    <t>558-1060</t>
  </si>
  <si>
    <t>558-1070</t>
  </si>
  <si>
    <t>558-1120</t>
  </si>
  <si>
    <t>IT DIRECTOR</t>
  </si>
  <si>
    <t>558-1125</t>
  </si>
  <si>
    <t>SYSTEM ADMIN</t>
  </si>
  <si>
    <t>558-1130</t>
  </si>
  <si>
    <t>GIS ASSISTANT</t>
  </si>
  <si>
    <t>558-1135</t>
  </si>
  <si>
    <t>SR. GIS TECHNICIAN</t>
  </si>
  <si>
    <t>558-1144</t>
  </si>
  <si>
    <t>558-1145</t>
  </si>
  <si>
    <t>558-1146</t>
  </si>
  <si>
    <t>558-1148</t>
  </si>
  <si>
    <t>558-1149</t>
  </si>
  <si>
    <t>558-1274</t>
  </si>
  <si>
    <t>558-1300</t>
  </si>
  <si>
    <t>558-1405</t>
  </si>
  <si>
    <t>558-1500</t>
  </si>
  <si>
    <t>558-4000</t>
  </si>
  <si>
    <t>558-4200</t>
  </si>
  <si>
    <t>558-4300</t>
  </si>
  <si>
    <t>558-4400</t>
  </si>
  <si>
    <t>558-4570</t>
  </si>
  <si>
    <t>558-4600</t>
  </si>
  <si>
    <t>558-4700</t>
  </si>
  <si>
    <t>558-4715</t>
  </si>
  <si>
    <t>558-4750</t>
  </si>
  <si>
    <t>558-4825</t>
  </si>
  <si>
    <t>558-5100</t>
  </si>
  <si>
    <t>558-5200</t>
  </si>
  <si>
    <t>558-5300</t>
  </si>
  <si>
    <t>558-5500</t>
  </si>
  <si>
    <t>558-5700</t>
  </si>
  <si>
    <t>PAGE: 31</t>
  </si>
  <si>
    <t>558-6100</t>
  </si>
  <si>
    <t>558-6500</t>
  </si>
  <si>
    <t>558-6540</t>
  </si>
  <si>
    <t>558-9720</t>
  </si>
  <si>
    <t>558-9730</t>
  </si>
  <si>
    <t>558-9735</t>
  </si>
  <si>
    <t>85-DEBT</t>
  </si>
  <si>
    <t>SERVICE</t>
  </si>
  <si>
    <t>=======</t>
  </si>
  <si>
    <t>catg 7 n</t>
  </si>
  <si>
    <t>ot used</t>
  </si>
  <si>
    <t>_______</t>
  </si>
  <si>
    <t>585-7001</t>
  </si>
  <si>
    <t>CAPITAL LEASE PRINCIPAL</t>
  </si>
  <si>
    <t>585-7002</t>
  </si>
  <si>
    <t>CAPITAL LEASE INTEREST</t>
  </si>
  <si>
    <t>catg 7 not used</t>
  </si>
  <si>
    <t>86-GENER</t>
  </si>
  <si>
    <t>AL FUND TRANSFERS</t>
  </si>
  <si>
    <t>586-9766</t>
  </si>
  <si>
    <t>TRANSFER TO LVGC</t>
  </si>
  <si>
    <t>586-9767</t>
  </si>
  <si>
    <t>TRANSFER TO HLGC</t>
  </si>
  <si>
    <t>586-9768</t>
  </si>
  <si>
    <t>TRANS GENERAL FUND TO CIP</t>
  </si>
  <si>
    <t>586-9769</t>
  </si>
  <si>
    <t>TRANSFER TO AVIATION</t>
  </si>
  <si>
    <t>TOTAL EX</t>
  </si>
  <si>
    <t>PENDITURES</t>
  </si>
  <si>
    <t>REVENUE</t>
  </si>
  <si>
    <t>OVER/(UNDER) EXPENDITURES</t>
  </si>
  <si>
    <t>*** END</t>
  </si>
  <si>
    <t>OF REPORT ***</t>
  </si>
  <si>
    <t>25 05:18 PM</t>
  </si>
  <si>
    <t>PAGE:  1</t>
  </si>
  <si>
    <t>11 -HOTE</t>
  </si>
  <si>
    <t>L FUND</t>
  </si>
  <si>
    <t>11-HOTEL</t>
  </si>
  <si>
    <t>411-1230</t>
  </si>
  <si>
    <t>HOTEL OCCUPANCY TAX</t>
  </si>
  <si>
    <t>411-1410</t>
  </si>
  <si>
    <t>411-9100</t>
  </si>
  <si>
    <t>411-9770</t>
  </si>
  <si>
    <t>TRANSFERS - DUE TO/FROM</t>
  </si>
  <si>
    <t>511-5100</t>
  </si>
  <si>
    <t>Hotel Fu</t>
  </si>
  <si>
    <t>nd Expenses</t>
  </si>
  <si>
    <t>511-8610</t>
  </si>
  <si>
    <t>CHAMBER OF COMMERCE</t>
  </si>
  <si>
    <t>511-8620</t>
  </si>
  <si>
    <t>TOURISM PROMOTION</t>
  </si>
  <si>
    <t>Hotel Fund Expenses</t>
  </si>
  <si>
    <t>TRANSFER TO GENERAL FUND</t>
  </si>
  <si>
    <t>14 -AVIA</t>
  </si>
  <si>
    <t>TION FUND</t>
  </si>
  <si>
    <t>440-1430</t>
  </si>
  <si>
    <t>440-3113</t>
  </si>
  <si>
    <t>TTF AGREEMENTS</t>
  </si>
  <si>
    <t>440-3123</t>
  </si>
  <si>
    <t>MONTHLY TIE DOWNS</t>
  </si>
  <si>
    <t>440-3133</t>
  </si>
  <si>
    <t>VEHICLE PARKING</t>
  </si>
  <si>
    <t>440-3143</t>
  </si>
  <si>
    <t>RAAPOA ACCESS FEE</t>
  </si>
  <si>
    <t>440-3153</t>
  </si>
  <si>
    <t>OVERNIGHT TIE DOWN</t>
  </si>
  <si>
    <t>440-3163</t>
  </si>
  <si>
    <t>TIE DOWN LEASE AGREEMENT</t>
  </si>
  <si>
    <t>440-3173</t>
  </si>
  <si>
    <t>MISCELLANEOUS AIRPORT REVENUE</t>
  </si>
  <si>
    <t>440-3225</t>
  </si>
  <si>
    <t>AIRPORT GRANT REVENUE</t>
  </si>
  <si>
    <t>AIRPORT POA SHARED EXP CONT</t>
  </si>
  <si>
    <t>440-9000</t>
  </si>
  <si>
    <t>TRANSFERS IN</t>
  </si>
  <si>
    <t>440-9101</t>
  </si>
  <si>
    <t>GENERAL FUND TRANSFER</t>
  </si>
  <si>
    <t>440-9710</t>
  </si>
  <si>
    <t>CAPITAL CONTRIBUTIONS</t>
  </si>
  <si>
    <t>==============</t>
  </si>
  <si>
    <t>540-1000</t>
  </si>
  <si>
    <t>540-1010</t>
  </si>
  <si>
    <t>540-1020</t>
  </si>
  <si>
    <t>540-1030</t>
  </si>
  <si>
    <t>540-1070</t>
  </si>
  <si>
    <t>540-1145</t>
  </si>
  <si>
    <t>540-1147</t>
  </si>
  <si>
    <t>540-1148</t>
  </si>
  <si>
    <t>540-1149</t>
  </si>
  <si>
    <t>540-1260</t>
  </si>
  <si>
    <t>AIRPORT ATTENDANT</t>
  </si>
  <si>
    <t>540-1300</t>
  </si>
  <si>
    <t>540-1405</t>
  </si>
  <si>
    <t>540-1500</t>
  </si>
  <si>
    <t>PAY PLAN INCREASE</t>
  </si>
  <si>
    <t>540-4000</t>
  </si>
  <si>
    <t>540-4200</t>
  </si>
  <si>
    <t>540-4305</t>
  </si>
  <si>
    <t>540-4575</t>
  </si>
  <si>
    <t>540-4600</t>
  </si>
  <si>
    <t>540-4650</t>
  </si>
  <si>
    <t>540-4670</t>
  </si>
  <si>
    <t>540-4675</t>
  </si>
  <si>
    <t>540-4700</t>
  </si>
  <si>
    <t>540-4710</t>
  </si>
  <si>
    <t>IMPROVEMENT GRANT</t>
  </si>
  <si>
    <t>540-4715</t>
  </si>
  <si>
    <t>540-4720</t>
  </si>
  <si>
    <t>VECHICLE MAINTENANCE/REAPIRS</t>
  </si>
  <si>
    <t>540-4725</t>
  </si>
  <si>
    <t>540-4750</t>
  </si>
  <si>
    <t>540-4825</t>
  </si>
  <si>
    <t>540-5300</t>
  </si>
  <si>
    <t>540-5400</t>
  </si>
  <si>
    <t>540-5500</t>
  </si>
  <si>
    <t>540-5700</t>
  </si>
  <si>
    <t>540-6100</t>
  </si>
  <si>
    <t>540-6140</t>
  </si>
  <si>
    <t>540-6500</t>
  </si>
  <si>
    <t>540-6800</t>
  </si>
  <si>
    <t>DEPRECIATION</t>
  </si>
  <si>
    <t>540-9700</t>
  </si>
  <si>
    <t>540-9710</t>
  </si>
  <si>
    <t>540-9725</t>
  </si>
  <si>
    <t>540-9760</t>
  </si>
  <si>
    <t>540-9801</t>
  </si>
  <si>
    <t>PROPERTY ACQUISITION</t>
  </si>
  <si>
    <t>540-9809</t>
  </si>
  <si>
    <t>AIRPORT IMPROVEMENTS</t>
  </si>
  <si>
    <t>540-9830</t>
  </si>
  <si>
    <t>TXDOT CIP AWOS/AIRPORT</t>
  </si>
  <si>
    <t>15 -MUNI</t>
  </si>
  <si>
    <t>CIPAL GOLF COURSE</t>
  </si>
  <si>
    <t>10 - LVG</t>
  </si>
  <si>
    <t>C PRO SHOP</t>
  </si>
  <si>
    <t>410-1100</t>
  </si>
  <si>
    <t>CART RENTAL</t>
  </si>
  <si>
    <t>410-1201</t>
  </si>
  <si>
    <t>DRIVING RANGE REVENUE</t>
  </si>
  <si>
    <t>410-1305</t>
  </si>
  <si>
    <t>GREENS FEES</t>
  </si>
  <si>
    <t>HANDICAP FEES</t>
  </si>
  <si>
    <t>MEMBERSHIP FEES</t>
  </si>
  <si>
    <t>410-1325</t>
  </si>
  <si>
    <t>PRO SHOP SALES</t>
  </si>
  <si>
    <t>CLUB RENTAL</t>
  </si>
  <si>
    <t>410-1335</t>
  </si>
  <si>
    <t>TOURNAMENT FEES - TAXABLE</t>
  </si>
  <si>
    <t>410-1336</t>
  </si>
  <si>
    <t>TOURNAMENT FEES - NON-TAXABLE</t>
  </si>
  <si>
    <t>410-1338</t>
  </si>
  <si>
    <t>HOLE SPONSORSHIP</t>
  </si>
  <si>
    <t>410-1510</t>
  </si>
  <si>
    <t>(        930) (</t>
  </si>
  <si>
    <t>2,504)</t>
  </si>
  <si>
    <t>410-1900</t>
  </si>
  <si>
    <t>GC CREDIT CARD FEES</t>
  </si>
  <si>
    <t>410-1950</t>
  </si>
  <si>
    <t>410-7953</t>
  </si>
  <si>
    <t>GRANTS - NOT CAPITAL</t>
  </si>
  <si>
    <t>TRANSFER FROM GENERAL FUND</t>
  </si>
  <si>
    <t>410-9102</t>
  </si>
  <si>
    <t>TRANSFER FROM UTILITY FUND</t>
  </si>
  <si>
    <t>410-9850</t>
  </si>
  <si>
    <t>CAPITAL CONTRIBUTIONS - AUDIT</t>
  </si>
  <si>
    <t>10 - LVGC PRO SHOP</t>
  </si>
  <si>
    <t>20 - LVG</t>
  </si>
  <si>
    <t>C SNACK BAR</t>
  </si>
  <si>
    <t>420-1100</t>
  </si>
  <si>
    <t>BEER &amp; WINE SALES</t>
  </si>
  <si>
    <t>420-1200</t>
  </si>
  <si>
    <t>OTHER DRINKS NON-TAXABLE</t>
  </si>
  <si>
    <t>420-1201</t>
  </si>
  <si>
    <t>FOOD SALES</t>
  </si>
  <si>
    <t>420-1205</t>
  </si>
  <si>
    <t>OTHER DRINKS - TAXABLE</t>
  </si>
  <si>
    <t>420-1300</t>
  </si>
  <si>
    <t>FACILITY RENTAL</t>
  </si>
  <si>
    <t>OVER/SHORT</t>
  </si>
  <si>
    <t>20 - LVGC SNACK BAR</t>
  </si>
  <si>
    <t>30 - LVG</t>
  </si>
  <si>
    <t>C MAINTENANCE</t>
  </si>
  <si>
    <t>430-9000</t>
  </si>
  <si>
    <t>TRANSFER IN FROM FUND 40</t>
  </si>
  <si>
    <t>30 - LVGC MAINTENANCE</t>
  </si>
  <si>
    <t>40 - HLG</t>
  </si>
  <si>
    <t>440-1100</t>
  </si>
  <si>
    <t>440-1201</t>
  </si>
  <si>
    <t>440-1305</t>
  </si>
  <si>
    <t>GREEN FEES</t>
  </si>
  <si>
    <t>440-1310</t>
  </si>
  <si>
    <t>440-1320</t>
  </si>
  <si>
    <t>440-1325</t>
  </si>
  <si>
    <t>PROSHOP SALES</t>
  </si>
  <si>
    <t>440-1330</t>
  </si>
  <si>
    <t>440-1335</t>
  </si>
  <si>
    <t>TOURNAMANT FEES-TAXABLE</t>
  </si>
  <si>
    <t>440-1336</t>
  </si>
  <si>
    <t>TOURNAMENT FEES-NON TAXABLE</t>
  </si>
  <si>
    <t>440-1340</t>
  </si>
  <si>
    <t>440-1510</t>
  </si>
  <si>
    <t>440-1810</t>
  </si>
  <si>
    <t>440-1900</t>
  </si>
  <si>
    <t>440-9102</t>
  </si>
  <si>
    <t>40 - HLGC PRO SHOP</t>
  </si>
  <si>
    <t>50 - HLG</t>
  </si>
  <si>
    <t>450-1100</t>
  </si>
  <si>
    <t>450-1200</t>
  </si>
  <si>
    <t>OTHER DRINKS-NON TAXABLE</t>
  </si>
  <si>
    <t>450-1201</t>
  </si>
  <si>
    <t>450-1205</t>
  </si>
  <si>
    <t>OTHER DRINKS-TAXABLE</t>
  </si>
  <si>
    <t>450-1300</t>
  </si>
  <si>
    <t>50 - HLGC SNACK BAR</t>
  </si>
  <si>
    <t>60 - HLG</t>
  </si>
  <si>
    <t>460-1200</t>
  </si>
  <si>
    <t>60 - HLGC MAINTENANCE</t>
  </si>
  <si>
    <t>LVGC PRO</t>
  </si>
  <si>
    <t>SHOP/SNACK BAR</t>
  </si>
  <si>
    <t>DIRECTOR OF GOLF OPERATIONS</t>
  </si>
  <si>
    <t>510-1101</t>
  </si>
  <si>
    <t>MARKETING COORDINATOR</t>
  </si>
  <si>
    <t>510-1102</t>
  </si>
  <si>
    <t>GOLF PROFESSIONAL</t>
  </si>
  <si>
    <t>510-1103</t>
  </si>
  <si>
    <t>BOOKKEEPER/ACCOUNTING CLERK</t>
  </si>
  <si>
    <t>510-1104</t>
  </si>
  <si>
    <t>PGA HEAD GOLF PROFESSIONAL</t>
  </si>
  <si>
    <t>FRONT DESK CLERK (FT)</t>
  </si>
  <si>
    <t>510-1106</t>
  </si>
  <si>
    <t>(PT) PRO SHOP CLERK</t>
  </si>
  <si>
    <t>MARSHALL/STARTER (PT)</t>
  </si>
  <si>
    <t>GLF CART KEEPERS</t>
  </si>
  <si>
    <t>510-1147</t>
  </si>
  <si>
    <t>GOLF COURSE FUND PAY PLAN</t>
  </si>
  <si>
    <t>510-4650</t>
  </si>
  <si>
    <t>510-4670</t>
  </si>
  <si>
    <t>510-4675</t>
  </si>
  <si>
    <t>510-4680</t>
  </si>
  <si>
    <t>CABLE TV SERVICE</t>
  </si>
  <si>
    <t>510-4710</t>
  </si>
  <si>
    <t>GOLF CART MAINT/REPAIRS</t>
  </si>
  <si>
    <t>510-4715</t>
  </si>
  <si>
    <t>510-4775</t>
  </si>
  <si>
    <t>TOURNAMENT EXPENSES</t>
  </si>
  <si>
    <t>510-5301</t>
  </si>
  <si>
    <t>PRO SHOP INVENTORY</t>
  </si>
  <si>
    <t>510-5302</t>
  </si>
  <si>
    <t>SNACK BAR SUPPLIES</t>
  </si>
  <si>
    <t>510-5303</t>
  </si>
  <si>
    <t>SNACK BAR FOOD</t>
  </si>
  <si>
    <t>510-5304</t>
  </si>
  <si>
    <t>SNACK BAR DRINKS</t>
  </si>
  <si>
    <t>510-5305</t>
  </si>
  <si>
    <t>SNACK BAR BEER &amp; WINE</t>
  </si>
  <si>
    <t>510-5306</t>
  </si>
  <si>
    <t>PRO SHOP SUPPLIES</t>
  </si>
  <si>
    <t>510-6550</t>
  </si>
  <si>
    <t>PROMOTIONAL</t>
  </si>
  <si>
    <t>510-6600</t>
  </si>
  <si>
    <t>510-9105</t>
  </si>
  <si>
    <t>GOLF CARTS - INTEREST</t>
  </si>
  <si>
    <t>CONTRIBUTED CAPITAL</t>
  </si>
  <si>
    <t>LV</t>
  </si>
  <si>
    <t>GC PRO SHOP/SNACK BAR</t>
  </si>
  <si>
    <t>HLGC PRO</t>
  </si>
  <si>
    <t>520-1138</t>
  </si>
  <si>
    <t>HL</t>
  </si>
  <si>
    <t>LVGC MAI</t>
  </si>
  <si>
    <t>NTENANCE</t>
  </si>
  <si>
    <t>GLF CREW LEADER</t>
  </si>
  <si>
    <t>530-1101</t>
  </si>
  <si>
    <t>GLF SUPERINTENDENT</t>
  </si>
  <si>
    <t>530-1105</t>
  </si>
  <si>
    <t>GLF MAINTENANCE</t>
  </si>
  <si>
    <t>530-1110</t>
  </si>
  <si>
    <t>MAINTENANCE PERSONNEL SEASONAL</t>
  </si>
  <si>
    <t>530-1115</t>
  </si>
  <si>
    <t>GOLF COURSE MECHANIC</t>
  </si>
  <si>
    <t>530-1300</t>
  </si>
  <si>
    <t>530-4305</t>
  </si>
  <si>
    <t>WATER SERVICE - REST ROOMS</t>
  </si>
  <si>
    <t>530-4675</t>
  </si>
  <si>
    <t>SEWER SERVICE - REST ROOMS</t>
  </si>
  <si>
    <t>530-4680</t>
  </si>
  <si>
    <t>BUILDING MAINTENANCE</t>
  </si>
  <si>
    <t>EQUIPMENT MAINT/REPAIRS</t>
  </si>
  <si>
    <t>530-4705</t>
  </si>
  <si>
    <t>IRRIGATION MAINT/REPAIRS</t>
  </si>
  <si>
    <t>530-5435</t>
  </si>
  <si>
    <t>FERTILIZER</t>
  </si>
  <si>
    <t>530-5440</t>
  </si>
  <si>
    <t>SAND &amp; SOIL</t>
  </si>
  <si>
    <t>530-5445</t>
  </si>
  <si>
    <t>SEED</t>
  </si>
  <si>
    <t>530-5450</t>
  </si>
  <si>
    <t>OTHER MATERIALS &amp; SUPPLIES</t>
  </si>
  <si>
    <t>530-6430</t>
  </si>
  <si>
    <t>BULK WATER</t>
  </si>
  <si>
    <t>530-6770</t>
  </si>
  <si>
    <t>LEASES</t>
  </si>
  <si>
    <t>530-9700</t>
  </si>
  <si>
    <t>530-9715</t>
  </si>
  <si>
    <t>CONSTRUCTION COSTS</t>
  </si>
  <si>
    <t>530-9730</t>
  </si>
  <si>
    <t>VEHICLES &amp; EQUIPMENT</t>
  </si>
  <si>
    <t>530-9751</t>
  </si>
  <si>
    <t>TURF GATOR-INTEREST</t>
  </si>
  <si>
    <t>GC MAINTENANCE</t>
  </si>
  <si>
    <t>TRANSFER</t>
  </si>
  <si>
    <t>TO DEBT SERVIE</t>
  </si>
  <si>
    <t>580-9767</t>
  </si>
  <si>
    <t>TRANSFER TO DEBT SERVICE</t>
  </si>
  <si>
    <t>TR</t>
  </si>
  <si>
    <t>ANSFER TO DEBT SERVIE</t>
  </si>
  <si>
    <t>DEPRECIA</t>
  </si>
  <si>
    <t>TION</t>
  </si>
  <si>
    <t>====</t>
  </si>
  <si>
    <t>CATG 8 N</t>
  </si>
  <si>
    <t>OT USED</t>
  </si>
  <si>
    <t>585-8505</t>
  </si>
  <si>
    <t>CATG 8 NOT USED</t>
  </si>
  <si>
    <t>DE</t>
  </si>
  <si>
    <t>PRECIATION</t>
  </si>
  <si>
    <t>30 -UTIL</t>
  </si>
  <si>
    <t>ITY FUND</t>
  </si>
  <si>
    <t>30-CONTR</t>
  </si>
  <si>
    <t>IBUTION CAPITAL</t>
  </si>
  <si>
    <t>430-1300</t>
  </si>
  <si>
    <t>30-CONTRIBUTION CAPITAL</t>
  </si>
  <si>
    <t>50-GENER</t>
  </si>
  <si>
    <t>AL OPERATION</t>
  </si>
  <si>
    <t>450-1410</t>
  </si>
  <si>
    <t>450-1411</t>
  </si>
  <si>
    <t>450-1412</t>
  </si>
  <si>
    <t>WTP EXPANSION INTEREST</t>
  </si>
  <si>
    <t>450-1413</t>
  </si>
  <si>
    <t>WATERLINE: BAR K TO BRONCO INT</t>
  </si>
  <si>
    <t>450-1414</t>
  </si>
  <si>
    <t>2018 LCRA REUSE WTR GRNT PROJE</t>
  </si>
  <si>
    <t>450-1420</t>
  </si>
  <si>
    <t>UTILITY EXTENSIONS REQUEST FEE</t>
  </si>
  <si>
    <t>450-1421</t>
  </si>
  <si>
    <t>INTERFUND REIMBURSEMENT</t>
  </si>
  <si>
    <t>450-1425</t>
  </si>
  <si>
    <t>TRANS FROM BONDS - LABOR/EQUIP</t>
  </si>
  <si>
    <t>450-1430</t>
  </si>
  <si>
    <t>CREDIT CARD SERVICE FEES</t>
  </si>
  <si>
    <t>450-1601</t>
  </si>
  <si>
    <t>PID ADMINISTRATION</t>
  </si>
  <si>
    <t>450-1602</t>
  </si>
  <si>
    <t>PID INSPECTIONS</t>
  </si>
  <si>
    <t>450-1810</t>
  </si>
  <si>
    <t>CASH LONG AND SHORT</t>
  </si>
  <si>
    <t>0  (</t>
  </si>
  <si>
    <t>727)</t>
  </si>
  <si>
    <t>450-3220</t>
  </si>
  <si>
    <t>OTHER UTILITY GRANTS</t>
  </si>
  <si>
    <t>450-3230</t>
  </si>
  <si>
    <t>LCRA GRANTS</t>
  </si>
  <si>
    <t>450-4400</t>
  </si>
  <si>
    <t>450-7911</t>
  </si>
  <si>
    <t>450-9060</t>
  </si>
  <si>
    <t>LOAN PROCEEDS</t>
  </si>
  <si>
    <t>450-9100</t>
  </si>
  <si>
    <t>450-9800</t>
  </si>
  <si>
    <t>OTHER RESOURCES</t>
  </si>
  <si>
    <t>450-9850</t>
  </si>
  <si>
    <t>450-9900</t>
  </si>
  <si>
    <t>INTERFUND TRANSFER</t>
  </si>
  <si>
    <t>50-GENERAL OPERATION</t>
  </si>
  <si>
    <t>60-WATER</t>
  </si>
  <si>
    <t>460-4100</t>
  </si>
  <si>
    <t>WATER SERVICE FEES</t>
  </si>
  <si>
    <t>460-4150</t>
  </si>
  <si>
    <t>DROUGHT EMERGENCY FEE</t>
  </si>
  <si>
    <t>460-4200</t>
  </si>
  <si>
    <t>FACILITY CHARGES</t>
  </si>
  <si>
    <t>460-4300</t>
  </si>
  <si>
    <t>WATER TAP FEES</t>
  </si>
  <si>
    <t>460-4360</t>
  </si>
  <si>
    <t>WATER EXTENSIONS</t>
  </si>
  <si>
    <t>460-4400</t>
  </si>
  <si>
    <t>460-4425</t>
  </si>
  <si>
    <t>FIRE HYDRANT</t>
  </si>
  <si>
    <t>460-4450</t>
  </si>
  <si>
    <t>RECONNECT FEE REVENUE</t>
  </si>
  <si>
    <t>460-4500</t>
  </si>
  <si>
    <t>PENALTIES-SERVICE ACCTS</t>
  </si>
  <si>
    <t>460-4510</t>
  </si>
  <si>
    <t>WATER FACILITY PEN/INT</t>
  </si>
  <si>
    <t>460-4550</t>
  </si>
  <si>
    <t>ENGINEERING/METER SET FEES</t>
  </si>
  <si>
    <t>460-4740</t>
  </si>
  <si>
    <t>REBATE UTILITY SERVICE LINE</t>
  </si>
  <si>
    <t>460-4759</t>
  </si>
  <si>
    <t>MAR VISTA WATER TAP ON LINE</t>
  </si>
  <si>
    <t>460-4760</t>
  </si>
  <si>
    <t>MAR HARBOR WTR LINE TAP ON</t>
  </si>
  <si>
    <t>460-9101</t>
  </si>
  <si>
    <t>60-WATER SERVICES</t>
  </si>
  <si>
    <t>70-SEWER</t>
  </si>
  <si>
    <t>470-4100</t>
  </si>
  <si>
    <t>SEWER SERVICE FEES</t>
  </si>
  <si>
    <t>470-4200</t>
  </si>
  <si>
    <t>470-4310</t>
  </si>
  <si>
    <t>SEWER TAP FEES</t>
  </si>
  <si>
    <t>470-4360</t>
  </si>
  <si>
    <t>SEWER EXTENSIONS</t>
  </si>
  <si>
    <t>470-4400</t>
  </si>
  <si>
    <t>470-4510</t>
  </si>
  <si>
    <t>FACILITY CHGS-INT/PEN</t>
  </si>
  <si>
    <t>470-4550</t>
  </si>
  <si>
    <t>470-4759</t>
  </si>
  <si>
    <t>MAR VISTA SWR LINE TAP ON</t>
  </si>
  <si>
    <t>470-4760</t>
  </si>
  <si>
    <t>MAR HARBOR SWR LINE TAP ON</t>
  </si>
  <si>
    <t>470-9900</t>
  </si>
  <si>
    <t>70-SEWER SERVICES</t>
  </si>
  <si>
    <t>80-CAPIT</t>
  </si>
  <si>
    <t>AL IMPROVEMENT</t>
  </si>
  <si>
    <t>480-1100</t>
  </si>
  <si>
    <t>TRANSFER FROM BOND FUND</t>
  </si>
  <si>
    <t>480-1200</t>
  </si>
  <si>
    <t>TRANSFER FROM WATER IMPACT FEE</t>
  </si>
  <si>
    <t>480-1300</t>
  </si>
  <si>
    <t>TRANSFER FROM SEWER IMPACT FEE</t>
  </si>
  <si>
    <t>80-CAPITAL IMPROVEMENT</t>
  </si>
  <si>
    <t>55-UTILI</t>
  </si>
  <si>
    <t>TIES ADMINISTRATI</t>
  </si>
  <si>
    <t>555-1000</t>
  </si>
  <si>
    <t>555-1010</t>
  </si>
  <si>
    <t>555-1020</t>
  </si>
  <si>
    <t>555-1030</t>
  </si>
  <si>
    <t>555-1050</t>
  </si>
  <si>
    <t>555-1060</t>
  </si>
  <si>
    <t>555-1070</t>
  </si>
  <si>
    <t>555-1100</t>
  </si>
  <si>
    <t>555-1120</t>
  </si>
  <si>
    <t>CUSTOMER SERVICE CLERKS</t>
  </si>
  <si>
    <t>555-1144</t>
  </si>
  <si>
    <t>555-1145</t>
  </si>
  <si>
    <t>555-1146</t>
  </si>
  <si>
    <t>555-1147</t>
  </si>
  <si>
    <t>555-1148</t>
  </si>
  <si>
    <t>555-1149</t>
  </si>
  <si>
    <t>555-1150</t>
  </si>
  <si>
    <t>555-1274</t>
  </si>
  <si>
    <t>555-1303</t>
  </si>
  <si>
    <t>UTILITY ASSISTANT</t>
  </si>
  <si>
    <t>555-1405</t>
  </si>
  <si>
    <t>555-1500</t>
  </si>
  <si>
    <t>UTILITY FUND PAY PLAN</t>
  </si>
  <si>
    <t>555-1520</t>
  </si>
  <si>
    <t>UTILITY BILLING CLERK</t>
  </si>
  <si>
    <t>555-4000</t>
  </si>
  <si>
    <t>555-4100</t>
  </si>
  <si>
    <t>BAD DEBT WRITE-OFFS</t>
  </si>
  <si>
    <t>555-4110</t>
  </si>
  <si>
    <t>555-4200</t>
  </si>
  <si>
    <t>555-4300</t>
  </si>
  <si>
    <t>555-4400</t>
  </si>
  <si>
    <t>555-4420</t>
  </si>
  <si>
    <t>555-4550</t>
  </si>
  <si>
    <t>555-4570</t>
  </si>
  <si>
    <t>555-4575</t>
  </si>
  <si>
    <t>555-4600</t>
  </si>
  <si>
    <t>555-4700</t>
  </si>
  <si>
    <t>555-4725</t>
  </si>
  <si>
    <t>555-4730</t>
  </si>
  <si>
    <t>555-4750</t>
  </si>
  <si>
    <t>555-4825</t>
  </si>
  <si>
    <t>555-5100</t>
  </si>
  <si>
    <t>555-5200</t>
  </si>
  <si>
    <t>555-5300</t>
  </si>
  <si>
    <t>555-5400</t>
  </si>
  <si>
    <t>555-5500</t>
  </si>
  <si>
    <t>555-5700</t>
  </si>
  <si>
    <t>555-6100</t>
  </si>
  <si>
    <t>555-6110</t>
  </si>
  <si>
    <t>AUDITING SERVICES</t>
  </si>
  <si>
    <t>555-6120</t>
  </si>
  <si>
    <t>555-6135</t>
  </si>
  <si>
    <t>555-6400</t>
  </si>
  <si>
    <t>555-6500</t>
  </si>
  <si>
    <t>555-6540</t>
  </si>
  <si>
    <t>555-6545</t>
  </si>
  <si>
    <t>CUSTOMER REFUNDS</t>
  </si>
  <si>
    <t>555-6700</t>
  </si>
  <si>
    <t>DAMAGE CLAIMS AGAINST CITY</t>
  </si>
  <si>
    <t>555-9310</t>
  </si>
  <si>
    <t>555-9730</t>
  </si>
  <si>
    <t>555-9750</t>
  </si>
  <si>
    <t>555-9760</t>
  </si>
  <si>
    <t>56-GENER</t>
  </si>
  <si>
    <t>AL FUND TRANSFER</t>
  </si>
  <si>
    <t>================</t>
  </si>
  <si>
    <t>556-9700</t>
  </si>
  <si>
    <t>OTHER RESOURCES CONTRIBUTED</t>
  </si>
  <si>
    <t>556-9765</t>
  </si>
  <si>
    <t>556-9770</t>
  </si>
  <si>
    <t>TRANSFERS TO CAPITAL PROJECTS</t>
  </si>
  <si>
    <t>57-DEBT</t>
  </si>
  <si>
    <t>SRVCE FUND TRNSF</t>
  </si>
  <si>
    <t>557-9760</t>
  </si>
  <si>
    <t>58-UTILI</t>
  </si>
  <si>
    <t>TY FUND INFO TECH</t>
  </si>
  <si>
    <t>SYSTEM ADMINISTRATOR/IT ASST</t>
  </si>
  <si>
    <t>59-PUBLI</t>
  </si>
  <si>
    <t>C WORKS ADMIN</t>
  </si>
  <si>
    <t>559-1000</t>
  </si>
  <si>
    <t>559-1010</t>
  </si>
  <si>
    <t>559-1020</t>
  </si>
  <si>
    <t>559-1030</t>
  </si>
  <si>
    <t>559-1050</t>
  </si>
  <si>
    <t>559-1060</t>
  </si>
  <si>
    <t>559-1070</t>
  </si>
  <si>
    <t>559-1100</t>
  </si>
  <si>
    <t>559-1110</t>
  </si>
  <si>
    <t>CIP PROJECT MANAGER</t>
  </si>
  <si>
    <t>559-1130</t>
  </si>
  <si>
    <t>559-1144</t>
  </si>
  <si>
    <t>559-1145</t>
  </si>
  <si>
    <t>559-1146</t>
  </si>
  <si>
    <t>559-1147</t>
  </si>
  <si>
    <t>559-1148</t>
  </si>
  <si>
    <t>559-1149</t>
  </si>
  <si>
    <t>559-1274</t>
  </si>
  <si>
    <t>559-1300</t>
  </si>
  <si>
    <t>559-1301</t>
  </si>
  <si>
    <t>ASST DIRECTOR OF PUBLIC WORKS</t>
  </si>
  <si>
    <t>559-1303</t>
  </si>
  <si>
    <t>PUBLIC WORKS ADMIN ASST</t>
  </si>
  <si>
    <t>559-1310</t>
  </si>
  <si>
    <t>ENGINEER</t>
  </si>
  <si>
    <t>559-1405</t>
  </si>
  <si>
    <t>559-1500</t>
  </si>
  <si>
    <t>559-4000</t>
  </si>
  <si>
    <t>559-4110</t>
  </si>
  <si>
    <t>559-4200</t>
  </si>
  <si>
    <t>559-4300</t>
  </si>
  <si>
    <t>559-4400</t>
  </si>
  <si>
    <t>559-4420</t>
  </si>
  <si>
    <t>559-4550</t>
  </si>
  <si>
    <t>559-4600</t>
  </si>
  <si>
    <t>559-4650</t>
  </si>
  <si>
    <t>UTILITY INFILL PROGRAM</t>
  </si>
  <si>
    <t>559-4700</t>
  </si>
  <si>
    <t>559-4725</t>
  </si>
  <si>
    <t>VEHICLE MAIN/REPAIRS</t>
  </si>
  <si>
    <t>559-4750</t>
  </si>
  <si>
    <t>559-4825</t>
  </si>
  <si>
    <t>559-5100</t>
  </si>
  <si>
    <t>559-5200</t>
  </si>
  <si>
    <t>559-5300</t>
  </si>
  <si>
    <t>559-5400</t>
  </si>
  <si>
    <t>559-5500</t>
  </si>
  <si>
    <t>559-5700</t>
  </si>
  <si>
    <t>559-6100</t>
  </si>
  <si>
    <t>559-6120</t>
  </si>
  <si>
    <t>559-6135</t>
  </si>
  <si>
    <t>559-6500</t>
  </si>
  <si>
    <t>559-6540</t>
  </si>
  <si>
    <t>559-9700</t>
  </si>
  <si>
    <t>559-9720</t>
  </si>
  <si>
    <t>559-9725</t>
  </si>
  <si>
    <t>559-9730</t>
  </si>
  <si>
    <t>560-1000</t>
  </si>
  <si>
    <t>560-1010</t>
  </si>
  <si>
    <t>560-1020</t>
  </si>
  <si>
    <t>560-1030</t>
  </si>
  <si>
    <t>560-1050</t>
  </si>
  <si>
    <t>560-1060</t>
  </si>
  <si>
    <t>560-1070</t>
  </si>
  <si>
    <t>560-1145</t>
  </si>
  <si>
    <t>560-1146</t>
  </si>
  <si>
    <t>560-1147</t>
  </si>
  <si>
    <t>560-1148</t>
  </si>
  <si>
    <t>560-1149</t>
  </si>
  <si>
    <t>560-1274</t>
  </si>
  <si>
    <t>560-1300</t>
  </si>
  <si>
    <t>560-1405</t>
  </si>
  <si>
    <t>560-1500</t>
  </si>
  <si>
    <t>560-1540</t>
  </si>
  <si>
    <t>UT SUPERINTENDENT</t>
  </si>
  <si>
    <t>560-1561</t>
  </si>
  <si>
    <t>UT CREW LEADER</t>
  </si>
  <si>
    <t>560-1570</t>
  </si>
  <si>
    <t>UT MAINTENANCE</t>
  </si>
  <si>
    <t>560-1571</t>
  </si>
  <si>
    <t>SALARIES INCLUDED INCIP</t>
  </si>
  <si>
    <t>560-1591</t>
  </si>
  <si>
    <t>560-4000</t>
  </si>
  <si>
    <t>560-4110</t>
  </si>
  <si>
    <t>560-4200</t>
  </si>
  <si>
    <t>560-4300</t>
  </si>
  <si>
    <t>560-4400</t>
  </si>
  <si>
    <t>560-4570</t>
  </si>
  <si>
    <t>560-4600</t>
  </si>
  <si>
    <t>560-4650</t>
  </si>
  <si>
    <t>560-4700</t>
  </si>
  <si>
    <t>560-4715</t>
  </si>
  <si>
    <t>560-4725</t>
  </si>
  <si>
    <t>560-4730</t>
  </si>
  <si>
    <t>560-4740</t>
  </si>
  <si>
    <t>560-4750</t>
  </si>
  <si>
    <t>560-4755</t>
  </si>
  <si>
    <t>FIRE HYDRANT REPLACEMENT</t>
  </si>
  <si>
    <t>560-4757</t>
  </si>
  <si>
    <t>560-4758</t>
  </si>
  <si>
    <t>REBATE ON LINE EXTENSIONS</t>
  </si>
  <si>
    <t>560-4761</t>
  </si>
  <si>
    <t>WATER SYSTEM IMPROVEMENTS</t>
  </si>
  <si>
    <t>560-4825</t>
  </si>
  <si>
    <t>560-5300</t>
  </si>
  <si>
    <t>560-5305</t>
  </si>
  <si>
    <t>560-5350</t>
  </si>
  <si>
    <t>METERS</t>
  </si>
  <si>
    <t>560-5400</t>
  </si>
  <si>
    <t>560-5410</t>
  </si>
  <si>
    <t>560-5430</t>
  </si>
  <si>
    <t>560-5500</t>
  </si>
  <si>
    <t>560-5700</t>
  </si>
  <si>
    <t>560-6130</t>
  </si>
  <si>
    <t>ENGINEERING &amp; PLANNING SVCS</t>
  </si>
  <si>
    <t>560-6135</t>
  </si>
  <si>
    <t>560-6500</t>
  </si>
  <si>
    <t>560-6540</t>
  </si>
  <si>
    <t>560-6545</t>
  </si>
  <si>
    <t>REFUND WATER TAP FEE</t>
  </si>
  <si>
    <t>560-9720</t>
  </si>
  <si>
    <t>560-9730</t>
  </si>
  <si>
    <t>560-9740</t>
  </si>
  <si>
    <t>560-9750</t>
  </si>
  <si>
    <t>WATERLINE: BAR K TO BRONCO</t>
  </si>
  <si>
    <t>560-9760</t>
  </si>
  <si>
    <t>65-WATER</t>
  </si>
  <si>
    <t>PLANT ONE</t>
  </si>
  <si>
    <t>565-1000</t>
  </si>
  <si>
    <t>565-1010</t>
  </si>
  <si>
    <t>565-1020</t>
  </si>
  <si>
    <t>565-1030</t>
  </si>
  <si>
    <t>565-1050</t>
  </si>
  <si>
    <t>565-1060</t>
  </si>
  <si>
    <t>565-1070</t>
  </si>
  <si>
    <t>565-1145</t>
  </si>
  <si>
    <t>565-1146</t>
  </si>
  <si>
    <t>565-1147</t>
  </si>
  <si>
    <t>565-1148</t>
  </si>
  <si>
    <t>565-1149</t>
  </si>
  <si>
    <t>565-1274</t>
  </si>
  <si>
    <t>565-1300</t>
  </si>
  <si>
    <t>565-1405</t>
  </si>
  <si>
    <t>565-1500</t>
  </si>
  <si>
    <t>565-1560</t>
  </si>
  <si>
    <t>PLANT ONE OPERATORS</t>
  </si>
  <si>
    <t>565-1570</t>
  </si>
  <si>
    <t>SCADA OPERATOR</t>
  </si>
  <si>
    <t>565-1591</t>
  </si>
  <si>
    <t>565-4000</t>
  </si>
  <si>
    <t>565-4110</t>
  </si>
  <si>
    <t>565-4200</t>
  </si>
  <si>
    <t>565-4300</t>
  </si>
  <si>
    <t>565-4400</t>
  </si>
  <si>
    <t>565-4570</t>
  </si>
  <si>
    <t>565-4600</t>
  </si>
  <si>
    <t>565-4650</t>
  </si>
  <si>
    <t>565-4700</t>
  </si>
  <si>
    <t>565-4715</t>
  </si>
  <si>
    <t>565-4725</t>
  </si>
  <si>
    <t>565-4730</t>
  </si>
  <si>
    <t>565-4825</t>
  </si>
  <si>
    <t>565-5300</t>
  </si>
  <si>
    <t>565-5305</t>
  </si>
  <si>
    <t>565-5400</t>
  </si>
  <si>
    <t>565-5430</t>
  </si>
  <si>
    <t>565-5500</t>
  </si>
  <si>
    <t>565-5700</t>
  </si>
  <si>
    <t>565-6125</t>
  </si>
  <si>
    <t>TESTING SERVICES</t>
  </si>
  <si>
    <t>565-6135</t>
  </si>
  <si>
    <t>565-6425</t>
  </si>
  <si>
    <t>LCRA RESERVATION FEE</t>
  </si>
  <si>
    <t>565-6430</t>
  </si>
  <si>
    <t>565-6500</t>
  </si>
  <si>
    <t>565-6540</t>
  </si>
  <si>
    <t>565-6600</t>
  </si>
  <si>
    <t>565-9700</t>
  </si>
  <si>
    <t>565-9715</t>
  </si>
  <si>
    <t>565-9720</t>
  </si>
  <si>
    <t>565-9730</t>
  </si>
  <si>
    <t>565-9750</t>
  </si>
  <si>
    <t>WTP 3 EXPANSION</t>
  </si>
  <si>
    <t>69-WATER</t>
  </si>
  <si>
    <t>PLANT THREE</t>
  </si>
  <si>
    <t>569-1000</t>
  </si>
  <si>
    <t>ACCRUED SALARY - AUDITOR ADJ</t>
  </si>
  <si>
    <t>569-1010</t>
  </si>
  <si>
    <t>569-1020</t>
  </si>
  <si>
    <t>569-1030</t>
  </si>
  <si>
    <t>569-1050</t>
  </si>
  <si>
    <t>569-1060</t>
  </si>
  <si>
    <t>569-1070</t>
  </si>
  <si>
    <t>569-1145</t>
  </si>
  <si>
    <t>569-1146</t>
  </si>
  <si>
    <t>569-1147</t>
  </si>
  <si>
    <t>569-1148</t>
  </si>
  <si>
    <t>569-1149</t>
  </si>
  <si>
    <t>569-1274</t>
  </si>
  <si>
    <t>569-1300</t>
  </si>
  <si>
    <t>569-1405</t>
  </si>
  <si>
    <t>569-1500</t>
  </si>
  <si>
    <t>569-1560</t>
  </si>
  <si>
    <t>PLANT THREE OPERATORS</t>
  </si>
  <si>
    <t>569-1591</t>
  </si>
  <si>
    <t>569-4000</t>
  </si>
  <si>
    <t>569-4110</t>
  </si>
  <si>
    <t>569-4200</t>
  </si>
  <si>
    <t>569-4300</t>
  </si>
  <si>
    <t>569-4400</t>
  </si>
  <si>
    <t>569-4570</t>
  </si>
  <si>
    <t>569-4600</t>
  </si>
  <si>
    <t>569-4650</t>
  </si>
  <si>
    <t>569-4700</t>
  </si>
  <si>
    <t>569-4715</t>
  </si>
  <si>
    <t>569-4725</t>
  </si>
  <si>
    <t>569-4730</t>
  </si>
  <si>
    <t>569-4825</t>
  </si>
  <si>
    <t>569-5300</t>
  </si>
  <si>
    <t>569-5305</t>
  </si>
  <si>
    <t>569-5400</t>
  </si>
  <si>
    <t>569-5430</t>
  </si>
  <si>
    <t>569-5500</t>
  </si>
  <si>
    <t>569-5700</t>
  </si>
  <si>
    <t>569-6125</t>
  </si>
  <si>
    <t>569-6135</t>
  </si>
  <si>
    <t>569-6425</t>
  </si>
  <si>
    <t>569-6430</t>
  </si>
  <si>
    <t>569-6500</t>
  </si>
  <si>
    <t>569-6540</t>
  </si>
  <si>
    <t>569-6600</t>
  </si>
  <si>
    <t>569-9710</t>
  </si>
  <si>
    <t>FLOURIDE SYSTEM</t>
  </si>
  <si>
    <t>569-9715</t>
  </si>
  <si>
    <t>569-9720</t>
  </si>
  <si>
    <t>569-9730</t>
  </si>
  <si>
    <t>569-9750</t>
  </si>
  <si>
    <t>WTP #3 EXPANSION</t>
  </si>
  <si>
    <t>570-1000</t>
  </si>
  <si>
    <t>570-1010</t>
  </si>
  <si>
    <t>570-1020</t>
  </si>
  <si>
    <t>570-1030</t>
  </si>
  <si>
    <t>570-1050</t>
  </si>
  <si>
    <t>570-1060</t>
  </si>
  <si>
    <t>570-1070</t>
  </si>
  <si>
    <t>570-1145</t>
  </si>
  <si>
    <t>570-1146</t>
  </si>
  <si>
    <t>570-1147</t>
  </si>
  <si>
    <t>570-1148</t>
  </si>
  <si>
    <t>570-1149</t>
  </si>
  <si>
    <t>570-1274</t>
  </si>
  <si>
    <t>570-1300</t>
  </si>
  <si>
    <t>570-1405</t>
  </si>
  <si>
    <t>570-1500</t>
  </si>
  <si>
    <t>570-1540</t>
  </si>
  <si>
    <t>SS FIELD SUPERVISOR</t>
  </si>
  <si>
    <t>570-1561</t>
  </si>
  <si>
    <t>SS CREW LEADER</t>
  </si>
  <si>
    <t>570-1570</t>
  </si>
  <si>
    <t>SS MAINTENANCE</t>
  </si>
  <si>
    <t>570-1591</t>
  </si>
  <si>
    <t>570-4000</t>
  </si>
  <si>
    <t>570-4110</t>
  </si>
  <si>
    <t>570-4200</t>
  </si>
  <si>
    <t>570-4300</t>
  </si>
  <si>
    <t>570-4570</t>
  </si>
  <si>
    <t>570-4600</t>
  </si>
  <si>
    <t>570-4650</t>
  </si>
  <si>
    <t>570-4700</t>
  </si>
  <si>
    <t>570-4715</t>
  </si>
  <si>
    <t>570-4725</t>
  </si>
  <si>
    <t>570-4730</t>
  </si>
  <si>
    <t>570-4750</t>
  </si>
  <si>
    <t>570-4758</t>
  </si>
  <si>
    <t>SEWER EXTENSION EXPENSE</t>
  </si>
  <si>
    <t>570-4759</t>
  </si>
  <si>
    <t>REBATE ON SEWER EXTENSION</t>
  </si>
  <si>
    <t>570-4761</t>
  </si>
  <si>
    <t>SEWER SYSTEM IMPROVEMENTS</t>
  </si>
  <si>
    <t>570-4825</t>
  </si>
  <si>
    <t>570-5300</t>
  </si>
  <si>
    <t>570-5305</t>
  </si>
  <si>
    <t>570-5400</t>
  </si>
  <si>
    <t>570-5430</t>
  </si>
  <si>
    <t>570-5500</t>
  </si>
  <si>
    <t>570-5700</t>
  </si>
  <si>
    <t>570-6130</t>
  </si>
  <si>
    <t>ENGINEERING SERVICES/PLANNING</t>
  </si>
  <si>
    <t>570-6135</t>
  </si>
  <si>
    <t>570-6500</t>
  </si>
  <si>
    <t>570-6540</t>
  </si>
  <si>
    <t>570-6545</t>
  </si>
  <si>
    <t>REFUND SEWER TAP FEE</t>
  </si>
  <si>
    <t>570-6640</t>
  </si>
  <si>
    <t>EFFLUENT DISPOSAL SERVICE</t>
  </si>
  <si>
    <t>570-9720</t>
  </si>
  <si>
    <t>570-9760</t>
  </si>
  <si>
    <t>75-SEWER</t>
  </si>
  <si>
    <t>PLANT</t>
  </si>
  <si>
    <t>575-1000</t>
  </si>
  <si>
    <t>575-1010</t>
  </si>
  <si>
    <t>575-1020</t>
  </si>
  <si>
    <t>575-1030</t>
  </si>
  <si>
    <t>575-1050</t>
  </si>
  <si>
    <t>575-1060</t>
  </si>
  <si>
    <t>575-1070</t>
  </si>
  <si>
    <t>575-1145</t>
  </si>
  <si>
    <t>575-1146</t>
  </si>
  <si>
    <t>575-1147</t>
  </si>
  <si>
    <t>575-1148</t>
  </si>
  <si>
    <t>575-1149</t>
  </si>
  <si>
    <t>575-1274</t>
  </si>
  <si>
    <t>575-1300</t>
  </si>
  <si>
    <t>575-1405</t>
  </si>
  <si>
    <t>575-1500</t>
  </si>
  <si>
    <t>575-1555</t>
  </si>
  <si>
    <t>SWR PLANT SUPERINTENDENT</t>
  </si>
  <si>
    <t>575-1560</t>
  </si>
  <si>
    <t>SWR PLANT OPERATOR</t>
  </si>
  <si>
    <t>575-1591</t>
  </si>
  <si>
    <t>575-4000</t>
  </si>
  <si>
    <t>575-4110</t>
  </si>
  <si>
    <t>575-4200</t>
  </si>
  <si>
    <t>575-4300</t>
  </si>
  <si>
    <t>575-4400</t>
  </si>
  <si>
    <t>575-4600</t>
  </si>
  <si>
    <t>575-4650</t>
  </si>
  <si>
    <t>575-4700</t>
  </si>
  <si>
    <t>575-4715</t>
  </si>
  <si>
    <t>575-4725</t>
  </si>
  <si>
    <t>575-4730</t>
  </si>
  <si>
    <t>575-4825</t>
  </si>
  <si>
    <t>575-5100</t>
  </si>
  <si>
    <t>575-5300</t>
  </si>
  <si>
    <t>575-5305</t>
  </si>
  <si>
    <t>575-5400</t>
  </si>
  <si>
    <t>575-5430</t>
  </si>
  <si>
    <t>575-5435</t>
  </si>
  <si>
    <t>GOLF COURSE IRRIGATION SEEDING</t>
  </si>
  <si>
    <t>575-5500</t>
  </si>
  <si>
    <t>575-5700</t>
  </si>
  <si>
    <t>575-6125</t>
  </si>
  <si>
    <t>575-6135</t>
  </si>
  <si>
    <t>575-6500</t>
  </si>
  <si>
    <t>575-6540</t>
  </si>
  <si>
    <t>575-6600</t>
  </si>
  <si>
    <t>575-9720</t>
  </si>
  <si>
    <t>575-9730</t>
  </si>
  <si>
    <t>575-9750</t>
  </si>
  <si>
    <t>WWTP EXPANSION TYPE 2</t>
  </si>
  <si>
    <t>77-EFFLU</t>
  </si>
  <si>
    <t>ENT DISPOSAL</t>
  </si>
  <si>
    <t>577-1000</t>
  </si>
  <si>
    <t>577-1010</t>
  </si>
  <si>
    <t>577-1020</t>
  </si>
  <si>
    <t>577-1030</t>
  </si>
  <si>
    <t>577-1050</t>
  </si>
  <si>
    <t>577-1060</t>
  </si>
  <si>
    <t>577-1070</t>
  </si>
  <si>
    <t>577-1145</t>
  </si>
  <si>
    <t>577-1146</t>
  </si>
  <si>
    <t>577-1147</t>
  </si>
  <si>
    <t>577-1148</t>
  </si>
  <si>
    <t>577-1149</t>
  </si>
  <si>
    <t>577-1274</t>
  </si>
  <si>
    <t>577-1300</t>
  </si>
  <si>
    <t>577-1405</t>
  </si>
  <si>
    <t>577-1500</t>
  </si>
  <si>
    <t>577-1560</t>
  </si>
  <si>
    <t>EFFLUENT IRRIGATION OPERATOR</t>
  </si>
  <si>
    <t>577-1561</t>
  </si>
  <si>
    <t>EFFLUENT CREW LEADER</t>
  </si>
  <si>
    <t>577-1570</t>
  </si>
  <si>
    <t>EFFLUENT LABORER</t>
  </si>
  <si>
    <t>577-1591</t>
  </si>
  <si>
    <t>577-4000</t>
  </si>
  <si>
    <t>577-4110</t>
  </si>
  <si>
    <t>577-4200</t>
  </si>
  <si>
    <t>577-4300</t>
  </si>
  <si>
    <t>577-4570</t>
  </si>
  <si>
    <t>577-4600</t>
  </si>
  <si>
    <t>577-4650</t>
  </si>
  <si>
    <t>577-4700</t>
  </si>
  <si>
    <t>577-4705</t>
  </si>
  <si>
    <t>IRRIGATION MAINT. &amp; REPAIRS</t>
  </si>
  <si>
    <t>577-4715</t>
  </si>
  <si>
    <t>577-4725</t>
  </si>
  <si>
    <t>577-4730</t>
  </si>
  <si>
    <t>577-4750</t>
  </si>
  <si>
    <t>577-4825</t>
  </si>
  <si>
    <t>577-5300</t>
  </si>
  <si>
    <t>577-5305</t>
  </si>
  <si>
    <t>577-5400</t>
  </si>
  <si>
    <t>577-5430</t>
  </si>
  <si>
    <t>577-5450</t>
  </si>
  <si>
    <t>577-5500</t>
  </si>
  <si>
    <t>577-5700</t>
  </si>
  <si>
    <t>577-6125</t>
  </si>
  <si>
    <t>577-6135</t>
  </si>
  <si>
    <t>577-6430</t>
  </si>
  <si>
    <t>577-6500</t>
  </si>
  <si>
    <t>577-9720</t>
  </si>
  <si>
    <t>577-9725</t>
  </si>
  <si>
    <t>IRRIGATION SYSTEM EXPANSION</t>
  </si>
  <si>
    <t>577-9730</t>
  </si>
  <si>
    <t>577-9750</t>
  </si>
  <si>
    <t>EFFLUENT POND REHABILITATION</t>
  </si>
  <si>
    <t>79-UTILI</t>
  </si>
  <si>
    <t>TY FUND TRANSFER</t>
  </si>
  <si>
    <t>catg 3 n</t>
  </si>
  <si>
    <t>579-3780</t>
  </si>
  <si>
    <t>UTILITY TRANSFER TO HLGC</t>
  </si>
  <si>
    <t>catg 3 not used</t>
  </si>
  <si>
    <t>579-9775</t>
  </si>
  <si>
    <t>UTILITY TRANSFER TO LVGC</t>
  </si>
  <si>
    <t>579-9780</t>
  </si>
  <si>
    <t>82-BOOST</t>
  </si>
  <si>
    <t>ER PUMP STATIONS</t>
  </si>
  <si>
    <t>582-1000</t>
  </si>
  <si>
    <t>582-1010</t>
  </si>
  <si>
    <t>582-1020</t>
  </si>
  <si>
    <t>582-1030</t>
  </si>
  <si>
    <t>582-1050</t>
  </si>
  <si>
    <t>582-1060</t>
  </si>
  <si>
    <t>582-1070</t>
  </si>
  <si>
    <t>582-1145</t>
  </si>
  <si>
    <t>582-1146</t>
  </si>
  <si>
    <t>582-1147</t>
  </si>
  <si>
    <t>582-1148</t>
  </si>
  <si>
    <t>582-1149</t>
  </si>
  <si>
    <t>582-1274</t>
  </si>
  <si>
    <t>582-1300</t>
  </si>
  <si>
    <t>582-1405</t>
  </si>
  <si>
    <t>582-1500</t>
  </si>
  <si>
    <t>582-1560</t>
  </si>
  <si>
    <t>BPS PLANT OPERATOR</t>
  </si>
  <si>
    <t>582-1591</t>
  </si>
  <si>
    <t>582-4000</t>
  </si>
  <si>
    <t>582-4110</t>
  </si>
  <si>
    <t>582-4200</t>
  </si>
  <si>
    <t>582-4300</t>
  </si>
  <si>
    <t>582-4570</t>
  </si>
  <si>
    <t>582-4600</t>
  </si>
  <si>
    <t>582-4650</t>
  </si>
  <si>
    <t>582-4700</t>
  </si>
  <si>
    <t>582-4715</t>
  </si>
  <si>
    <t>582-4725</t>
  </si>
  <si>
    <t>VEHICLE MAINTENENCE/REPAIRS</t>
  </si>
  <si>
    <t>582-4730</t>
  </si>
  <si>
    <t>582-4750</t>
  </si>
  <si>
    <t>582-4825</t>
  </si>
  <si>
    <t>582-5300</t>
  </si>
  <si>
    <t>582-5305</t>
  </si>
  <si>
    <t>582-5400</t>
  </si>
  <si>
    <t>582-5430</t>
  </si>
  <si>
    <t>582-5500</t>
  </si>
  <si>
    <t>582-5700</t>
  </si>
  <si>
    <t>582-6130</t>
  </si>
  <si>
    <t>ENGINEERING &amp; PLANNING SRVC</t>
  </si>
  <si>
    <t>582-6135</t>
  </si>
  <si>
    <t>582-6500</t>
  </si>
  <si>
    <t>582-6540</t>
  </si>
  <si>
    <t>582-9720</t>
  </si>
  <si>
    <t>582-9760</t>
  </si>
  <si>
    <t>84-LIFT</t>
  </si>
  <si>
    <t>STATIONS</t>
  </si>
  <si>
    <t>584-1000</t>
  </si>
  <si>
    <t>584-1010</t>
  </si>
  <si>
    <t>584-1020</t>
  </si>
  <si>
    <t>584-1030</t>
  </si>
  <si>
    <t>584-1050</t>
  </si>
  <si>
    <t>584-1060</t>
  </si>
  <si>
    <t>584-1070</t>
  </si>
  <si>
    <t>584-1145</t>
  </si>
  <si>
    <t>584-1146</t>
  </si>
  <si>
    <t>584-1147</t>
  </si>
  <si>
    <t>584-1148</t>
  </si>
  <si>
    <t>584-1149</t>
  </si>
  <si>
    <t>584-1274</t>
  </si>
  <si>
    <t>584-1300</t>
  </si>
  <si>
    <t>584-1405</t>
  </si>
  <si>
    <t>584-1500</t>
  </si>
  <si>
    <t>584-1560</t>
  </si>
  <si>
    <t>LS PLANT OPERATOR</t>
  </si>
  <si>
    <t>584-1591</t>
  </si>
  <si>
    <t>584-4000</t>
  </si>
  <si>
    <t>584-4110</t>
  </si>
  <si>
    <t>584-4200</t>
  </si>
  <si>
    <t>584-4300</t>
  </si>
  <si>
    <t>584-4600</t>
  </si>
  <si>
    <t>584-4650</t>
  </si>
  <si>
    <t>584-4700</t>
  </si>
  <si>
    <t>584-4715</t>
  </si>
  <si>
    <t>584-4725</t>
  </si>
  <si>
    <t>VEHICLE MAINTENANCE/REPAIRS</t>
  </si>
  <si>
    <t>584-4730</t>
  </si>
  <si>
    <t>584-4750</t>
  </si>
  <si>
    <t>584-5300</t>
  </si>
  <si>
    <t>584-5305</t>
  </si>
  <si>
    <t>584-5400</t>
  </si>
  <si>
    <t>584-5430</t>
  </si>
  <si>
    <t>584-5500</t>
  </si>
  <si>
    <t>584-5700</t>
  </si>
  <si>
    <t>584-6135</t>
  </si>
  <si>
    <t>584-6500</t>
  </si>
  <si>
    <t>584-6540</t>
  </si>
  <si>
    <t>584-9000</t>
  </si>
  <si>
    <t>LIFT STATION IMPROVEMENTS</t>
  </si>
  <si>
    <t>584-9720</t>
  </si>
  <si>
    <t>584-9760</t>
  </si>
  <si>
    <t>585-4110</t>
  </si>
  <si>
    <t>585-9833</t>
  </si>
  <si>
    <t>2016A REFUNDING TAX NOTE-INTER</t>
  </si>
  <si>
    <t>585-9835</t>
  </si>
  <si>
    <t>2016B REFUNDING TAX NOTE-INTER</t>
  </si>
  <si>
    <t>585-9837</t>
  </si>
  <si>
    <t>2017 CO-INTEREST</t>
  </si>
  <si>
    <t>86-UTILI</t>
  </si>
  <si>
    <t>TY FUND TRANSFERS</t>
  </si>
  <si>
    <t>TRANS UTILITY FUND TO CIP</t>
  </si>
  <si>
    <t>40 -CAP</t>
  </si>
  <si>
    <t>IMPROVEMENT PROJECTS</t>
  </si>
  <si>
    <t>480-1125</t>
  </si>
  <si>
    <t>LOGIC RETAINAGE INTEREST</t>
  </si>
  <si>
    <t>480-1135</t>
  </si>
  <si>
    <t>LOGIC 2000 &amp; 2003 DEBT SVC INT</t>
  </si>
  <si>
    <t>480-1145</t>
  </si>
  <si>
    <t>LOGIC 2001 G/O BOND INT</t>
  </si>
  <si>
    <t>480-1155</t>
  </si>
  <si>
    <t>2005 G/O REFUND BOND INT</t>
  </si>
  <si>
    <t>480-1165</t>
  </si>
  <si>
    <t>LOGIC 2006 C/O BOND INT</t>
  </si>
  <si>
    <t>480-1172</t>
  </si>
  <si>
    <t>JONESTOWN FM/EFFLUENT</t>
  </si>
  <si>
    <t>480-1175</t>
  </si>
  <si>
    <t>LOGIC 2008 C/O BOND INT</t>
  </si>
  <si>
    <t>480-1176</t>
  </si>
  <si>
    <t>480-1180</t>
  </si>
  <si>
    <t>WULA SETTLEMENT INTEREST</t>
  </si>
  <si>
    <t>480-1181</t>
  </si>
  <si>
    <t>LVISD UTILITY IMPROVEMENTS INT</t>
  </si>
  <si>
    <t>480-1182</t>
  </si>
  <si>
    <t>HOLLOWS/CENTEX LOC INTEREST</t>
  </si>
  <si>
    <t>480-1183</t>
  </si>
  <si>
    <t>PID OFF SITE UTILITIES INTERES</t>
  </si>
  <si>
    <t>480-1184</t>
  </si>
  <si>
    <t>JONESTOWN FM/EFFLUENT INTEREST</t>
  </si>
  <si>
    <t>480-1185</t>
  </si>
  <si>
    <t>LCRA HOLLOWS WATER QUALITY INT</t>
  </si>
  <si>
    <t>480-1186</t>
  </si>
  <si>
    <t>DROUGHT EMERGENCY FUND INTERES</t>
  </si>
  <si>
    <t>480-1187</t>
  </si>
  <si>
    <t>AIRPORT TAXIWAY INTEREST</t>
  </si>
  <si>
    <t>480-1188</t>
  </si>
  <si>
    <t>AUSTIN BLVD PAVING INTEREST</t>
  </si>
  <si>
    <t>480-1189</t>
  </si>
  <si>
    <t>2014 CERT OF OBLIGATION INT</t>
  </si>
  <si>
    <t>480-1190</t>
  </si>
  <si>
    <t>2015 TAX NOTE INTEREST</t>
  </si>
  <si>
    <t>480-1191</t>
  </si>
  <si>
    <t>2015 OTWELL LAND ACQUISITION I</t>
  </si>
  <si>
    <t>480-1192</t>
  </si>
  <si>
    <t>2017 CO RECEIVING ACCOUNT INT</t>
  </si>
  <si>
    <t>480-1193</t>
  </si>
  <si>
    <t>WWTP IMPROVEMENTS INTEREST</t>
  </si>
  <si>
    <t>480-1194</t>
  </si>
  <si>
    <t>SAFE ROUTES TO SCHOOL INTEREST</t>
  </si>
  <si>
    <t>480-1195</t>
  </si>
  <si>
    <t>TRAFFIC SIGNAL-LOHMAN/BOGGY IN</t>
  </si>
  <si>
    <t>480-1196</t>
  </si>
  <si>
    <t>CAMILLE &amp; DAWN INTERSECTION IN</t>
  </si>
  <si>
    <t>480-1197</t>
  </si>
  <si>
    <t>AIRPORT PROPERTY AQUISITION IN</t>
  </si>
  <si>
    <t>480-1198</t>
  </si>
  <si>
    <t>AIRPORT TIE DOWNS INTEREST</t>
  </si>
  <si>
    <t>480-1199</t>
  </si>
  <si>
    <t>LV CLUBHOUSE REPAIRS INTEREST</t>
  </si>
  <si>
    <t>WATER QUALITY IMPROVEMENTS INT</t>
  </si>
  <si>
    <t>480-1201</t>
  </si>
  <si>
    <t>LIFT STATION SCADA IMPROV INTE</t>
  </si>
  <si>
    <t>480-1202</t>
  </si>
  <si>
    <t>VETERANS PARK INTEREST</t>
  </si>
  <si>
    <t>480-1203</t>
  </si>
  <si>
    <t>SPORTS COMPLEX IMPROVEMENTS IN</t>
  </si>
  <si>
    <t>480-1204</t>
  </si>
  <si>
    <t>STREET REHAB PROJECT INTEREST</t>
  </si>
  <si>
    <t>480-1205</t>
  </si>
  <si>
    <t>WATER MASTER PLAN #1 RECOM INT</t>
  </si>
  <si>
    <t>480-1206</t>
  </si>
  <si>
    <t>WTP #2 DEMOLITION INTEREST</t>
  </si>
  <si>
    <t>480-1207</t>
  </si>
  <si>
    <t>480-1208</t>
  </si>
  <si>
    <t>TOWN CENTER DEVELOPMENT INTERE</t>
  </si>
  <si>
    <t>480-1209</t>
  </si>
  <si>
    <t>COLV - EMPLOYEE BENEFITS TRUST</t>
  </si>
  <si>
    <t>480-1210</t>
  </si>
  <si>
    <t>CCN APPLICATION INTEREST</t>
  </si>
  <si>
    <t>480-1211</t>
  </si>
  <si>
    <t>WATERLINE TO CITY PARK INTERES</t>
  </si>
  <si>
    <t>480-1212</t>
  </si>
  <si>
    <t>LEAK DETECTION SURVEY INTEREST</t>
  </si>
  <si>
    <t>480-1213</t>
  </si>
  <si>
    <t>PUBLIC WORKS BREAKROOM INTERES</t>
  </si>
  <si>
    <t>480-1214</t>
  </si>
  <si>
    <t>GOLF COURSE RECONSTRUCTION INT</t>
  </si>
  <si>
    <t>480-1215</t>
  </si>
  <si>
    <t>IMPACT FEE STUDY INTEREST</t>
  </si>
  <si>
    <t>480-1216</t>
  </si>
  <si>
    <t>AIRPORT HANGARS INTEREST</t>
  </si>
  <si>
    <t>480-1217</t>
  </si>
  <si>
    <t>WTP #3 SLUDGE POND/H20 SYS BAL</t>
  </si>
  <si>
    <t>480-1218</t>
  </si>
  <si>
    <t>WTP #3 GENERATOR INTEREST</t>
  </si>
  <si>
    <t>480-1219</t>
  </si>
  <si>
    <t>WASTEWATER SYSTEM MASTER PLAN</t>
  </si>
  <si>
    <t>480-1220</t>
  </si>
  <si>
    <t>METER SYSTEM AMI INSTALL INT</t>
  </si>
  <si>
    <t>480-1221</t>
  </si>
  <si>
    <t>480-1222</t>
  </si>
  <si>
    <t>480-1223</t>
  </si>
  <si>
    <t>480-1224</t>
  </si>
  <si>
    <t>WATERLINE: BAR-K TO BRONCO INT</t>
  </si>
  <si>
    <t>480-1225</t>
  </si>
  <si>
    <t>2024 CO RECEIVING ACCOUNT INT</t>
  </si>
  <si>
    <t>480-1410</t>
  </si>
  <si>
    <t>CENTEX (HOLLOWS) INT INCOME</t>
  </si>
  <si>
    <t>480-1603</t>
  </si>
  <si>
    <t>PID CIP ESCROW FOR 8204</t>
  </si>
  <si>
    <t>480-1604</t>
  </si>
  <si>
    <t>JONESTOWN CIP 8209 ESCROW</t>
  </si>
  <si>
    <t>480-7102</t>
  </si>
  <si>
    <t>GOLF COURSE MAHOGANY DONATION</t>
  </si>
  <si>
    <t>480-7103</t>
  </si>
  <si>
    <t>WULA SETTLEMENT</t>
  </si>
  <si>
    <t>480-7104</t>
  </si>
  <si>
    <t>1431 TESSERA - HINES</t>
  </si>
  <si>
    <t>480-7105</t>
  </si>
  <si>
    <t>480-7106</t>
  </si>
  <si>
    <t>PID CIP REVENUE ACCOUNT</t>
  </si>
  <si>
    <t>480-7107</t>
  </si>
  <si>
    <t>LVISD CIP REVENUE ACCOUNT</t>
  </si>
  <si>
    <t>480-7108</t>
  </si>
  <si>
    <t>JONESTOWN FM/EFFLUENT CIP REVE</t>
  </si>
  <si>
    <t>480-7109</t>
  </si>
  <si>
    <t>LCRA HOLLOWS WATER QUALITY REV</t>
  </si>
  <si>
    <t>480-7110</t>
  </si>
  <si>
    <t>NORTHSHORE HOMES - BRIAN ATLAS</t>
  </si>
  <si>
    <t>480-7111</t>
  </si>
  <si>
    <t>AIRPORT POA</t>
  </si>
  <si>
    <t>480-7112</t>
  </si>
  <si>
    <t>HOLLOW/CENTEX</t>
  </si>
  <si>
    <t>480-7113</t>
  </si>
  <si>
    <t>2015 WTP #1 REHAB TAX NOTE</t>
  </si>
  <si>
    <t>480-7114</t>
  </si>
  <si>
    <t>2015 OTWELL LAND ACQUISITON TA</t>
  </si>
  <si>
    <t>480-7900</t>
  </si>
  <si>
    <t>06 AIRPORT CIP MATCHING FUND</t>
  </si>
  <si>
    <t>480-7911</t>
  </si>
  <si>
    <t>480-7916</t>
  </si>
  <si>
    <t>PREMIUM/DISCOUNT BOND ISSUE</t>
  </si>
  <si>
    <t>480-7920</t>
  </si>
  <si>
    <t>TRANSFER WATER IMPACT FEES</t>
  </si>
  <si>
    <t>480-7925</t>
  </si>
  <si>
    <t>TRANS WATER IMPACT FEE INTERES</t>
  </si>
  <si>
    <t>480-7930</t>
  </si>
  <si>
    <t>TRANS WASTEWATER IMPACT FEES</t>
  </si>
  <si>
    <t>480-7935</t>
  </si>
  <si>
    <t>TRAN WASTEWATER IMPACT FEE INT</t>
  </si>
  <si>
    <t>480-7950</t>
  </si>
  <si>
    <t>VARIOUS ACCRUED INTEREST</t>
  </si>
  <si>
    <t>480-7975</t>
  </si>
  <si>
    <t>EXISTING INVESTOR'S FUNDS</t>
  </si>
  <si>
    <t>480-9000</t>
  </si>
  <si>
    <t>TRANSFER IN</t>
  </si>
  <si>
    <t>480-9100</t>
  </si>
  <si>
    <t>TRANS/GENERAL FUND TO CIP</t>
  </si>
  <si>
    <t>480-9200</t>
  </si>
  <si>
    <t>TRANS/UTILITY FUND TO CIP</t>
  </si>
  <si>
    <t>480-9300</t>
  </si>
  <si>
    <t>TRANS/PARK FUND TO CIP</t>
  </si>
  <si>
    <t>580-1010</t>
  </si>
  <si>
    <t>00 c/o PAYROLL TAX</t>
  </si>
  <si>
    <t>580-1020</t>
  </si>
  <si>
    <t>00 c/o SOCIAL SECURITY</t>
  </si>
  <si>
    <t>580-1030</t>
  </si>
  <si>
    <t>00 c/o TMRS</t>
  </si>
  <si>
    <t>580-1050</t>
  </si>
  <si>
    <t>00 c/o HEALTH INSURANCE</t>
  </si>
  <si>
    <t>580-1070</t>
  </si>
  <si>
    <t>00 c/o WORKERS COMP</t>
  </si>
  <si>
    <t>580-1214</t>
  </si>
  <si>
    <t>580-1570</t>
  </si>
  <si>
    <t>00 c/o UTILITY LABORER</t>
  </si>
  <si>
    <t>580-1571</t>
  </si>
  <si>
    <t>580-4110</t>
  </si>
  <si>
    <t>00 c/o UNIFORMS</t>
  </si>
  <si>
    <t>CIP PROJ</t>
  </si>
  <si>
    <t>ECTS</t>
  </si>
  <si>
    <t>580-5760</t>
  </si>
  <si>
    <t>WW EFFLUENT POND</t>
  </si>
  <si>
    <t>580-5775</t>
  </si>
  <si>
    <t>PLANS</t>
  </si>
  <si>
    <t>580-5800</t>
  </si>
  <si>
    <t>99 c/o ENG DESIGN/PLANNING WST</t>
  </si>
  <si>
    <t>580-5860</t>
  </si>
  <si>
    <t>99 c/o LV GOLF COURSE IRRIGATN</t>
  </si>
  <si>
    <t>580-5870</t>
  </si>
  <si>
    <t>99 c/o HL INN STANDBY GENERATR</t>
  </si>
  <si>
    <t>580-5875</t>
  </si>
  <si>
    <t>99 C/O WWTP STRUCTURE RETROFIT</t>
  </si>
  <si>
    <t>580-5909</t>
  </si>
  <si>
    <t>00 c/o GENERAL FUND LABOR</t>
  </si>
  <si>
    <t>580-5910</t>
  </si>
  <si>
    <t>00 c/o WTR PLANT ONE IMPROV</t>
  </si>
  <si>
    <t>580-5920</t>
  </si>
  <si>
    <t>00 c/o ELV STORE TANK REPAINT</t>
  </si>
  <si>
    <t>580-5921</t>
  </si>
  <si>
    <t>00 c/o 16" WTR SUPPLY LINE ELV</t>
  </si>
  <si>
    <t>580-5930</t>
  </si>
  <si>
    <t>00 c/o LAND PURCHASES</t>
  </si>
  <si>
    <t>580-5940</t>
  </si>
  <si>
    <t>00 c/o BOONE DRIVE LIFT STATIO</t>
  </si>
  <si>
    <t>580-5950</t>
  </si>
  <si>
    <t>00 c/o LV GOLF IRRIGATION IMPR</t>
  </si>
  <si>
    <t>580-5960</t>
  </si>
  <si>
    <t>00 c/o HL GOLF EFLU POND/PUMP</t>
  </si>
  <si>
    <t>580-5970</t>
  </si>
  <si>
    <t>00 c/o WASTE WTR PLANT 2 CONST</t>
  </si>
  <si>
    <t>580-5975</t>
  </si>
  <si>
    <t>00 c/o LIFT STATIONS (4)</t>
  </si>
  <si>
    <t>580-5976</t>
  </si>
  <si>
    <t>00 c/o RELAY PUMP STATION CONS</t>
  </si>
  <si>
    <t>580-5977</t>
  </si>
  <si>
    <t>00 c/o IMPACT FEE STUDY</t>
  </si>
  <si>
    <t>580-5978</t>
  </si>
  <si>
    <t>00 c/o EFF IRRIGATION PERMITS</t>
  </si>
  <si>
    <t>580-5979</t>
  </si>
  <si>
    <t>00 c/o UPDATE MAPS/MODELS</t>
  </si>
  <si>
    <t>580-5980</t>
  </si>
  <si>
    <t>00 c/o MISC WATER SYS IMPROVEM</t>
  </si>
  <si>
    <t>580-5981</t>
  </si>
  <si>
    <t>00 c/o CIP CONTRACT ROCK SAW</t>
  </si>
  <si>
    <t>580-5982</t>
  </si>
  <si>
    <t>00 c/o CIP PIPE (7500 IF *2.86</t>
  </si>
  <si>
    <t>580-5983</t>
  </si>
  <si>
    <t>00 c/o CIP VALVES AND FITTINGS</t>
  </si>
  <si>
    <t>580-5984</t>
  </si>
  <si>
    <t>00 c/o CIP FIRE HYDRANTS</t>
  </si>
  <si>
    <t>580-5985</t>
  </si>
  <si>
    <t>00 c/o CIP SAND, CONCRETE, DIR</t>
  </si>
  <si>
    <t>580-5986</t>
  </si>
  <si>
    <t>00 c/o CIP HOT MIX AND BASE</t>
  </si>
  <si>
    <t>580-5987</t>
  </si>
  <si>
    <t>00 c/o MV FORCE MAIN OVERSIZIN</t>
  </si>
  <si>
    <t>580-5988</t>
  </si>
  <si>
    <t>00 c/o EFF TRAN LINE DESIGN</t>
  </si>
  <si>
    <t>580-5989</t>
  </si>
  <si>
    <t>00 c/o RELAY PUMP STATION DESI</t>
  </si>
  <si>
    <t>580-5990</t>
  </si>
  <si>
    <t>00 c/o WASTEWATER SYS IMPROVEM</t>
  </si>
  <si>
    <t>580-5991</t>
  </si>
  <si>
    <t>00 c/o WWTP PUMP STATION DESIG</t>
  </si>
  <si>
    <t>580-5992</t>
  </si>
  <si>
    <t>00 c/o CB EFF POND DESIGN ENG</t>
  </si>
  <si>
    <t>580-5993</t>
  </si>
  <si>
    <t>00 c/o CB IRRIGATION SYSTEM DE</t>
  </si>
  <si>
    <t>580-5994</t>
  </si>
  <si>
    <t>00 c/o IRRIGATION PUMP STATION</t>
  </si>
  <si>
    <t>580-5995</t>
  </si>
  <si>
    <t>00 c/o EFF TRANS LINE CONSTRUC</t>
  </si>
  <si>
    <t>580-5996</t>
  </si>
  <si>
    <t>00 c/o WWTP PUMP STATION CONST</t>
  </si>
  <si>
    <t>580-5997</t>
  </si>
  <si>
    <t>00 c/o PANT IMPROVE PHSE I</t>
  </si>
  <si>
    <t>580-5998</t>
  </si>
  <si>
    <t>00 c/o PLANT IMPROVE PHSE II</t>
  </si>
  <si>
    <t>580-5999</t>
  </si>
  <si>
    <t>00 c/o REIMBURSE UTILITY FUND</t>
  </si>
  <si>
    <t>CIP PROJECTS</t>
  </si>
  <si>
    <t>580-6110</t>
  </si>
  <si>
    <t>03 c/o CB EFF POND CONSTRUCTIO</t>
  </si>
  <si>
    <t>580-6111</t>
  </si>
  <si>
    <t>03 c/o CB IRRIGATION SYSTEM</t>
  </si>
  <si>
    <t>580-6112</t>
  </si>
  <si>
    <t>03 c/o CB FENCING</t>
  </si>
  <si>
    <t>580-6113</t>
  </si>
  <si>
    <t>03 c/o CB PROPERTY AQUISITION</t>
  </si>
  <si>
    <t>580-6114</t>
  </si>
  <si>
    <t>03 c/o WASTEWATER PERMIT</t>
  </si>
  <si>
    <t>580-6115</t>
  </si>
  <si>
    <t>03 c/o 8 " SWR FORCE MAIN DESI</t>
  </si>
  <si>
    <t>580-6116</t>
  </si>
  <si>
    <t>03 c/o 8" SWR FORCE MAIN CONST</t>
  </si>
  <si>
    <t>580-6117</t>
  </si>
  <si>
    <t>03 c/o 12" WATERLINE DESIGN</t>
  </si>
  <si>
    <t>580-6118</t>
  </si>
  <si>
    <t>03 c/o 12" WATERLINE CONSTRUCT</t>
  </si>
  <si>
    <t>580-6119</t>
  </si>
  <si>
    <t>03 c/o COST OF ISSUANCE</t>
  </si>
  <si>
    <t>580-6120</t>
  </si>
  <si>
    <t>03 c/o CB IRRIG PUMP STATION</t>
  </si>
  <si>
    <t>580-6121</t>
  </si>
  <si>
    <t>03 c/o CB MANHOLE REHAB PROJ</t>
  </si>
  <si>
    <t>580-6122</t>
  </si>
  <si>
    <t>03 c/o ALLEGIENCE PUMP STAT UP</t>
  </si>
  <si>
    <t>580-6123</t>
  </si>
  <si>
    <t>03 c/o EXTENSION ENGINEERING</t>
  </si>
  <si>
    <t>580-6124</t>
  </si>
  <si>
    <t>03 c/o 8 " WTR LINE EXTENSION</t>
  </si>
  <si>
    <t>580-6125</t>
  </si>
  <si>
    <t>03 c/o 3" WASTEWTR LINE EXTENS</t>
  </si>
  <si>
    <t>580-6126</t>
  </si>
  <si>
    <t>03 c/o REIMB UTILITY FUND</t>
  </si>
  <si>
    <t>580-6127</t>
  </si>
  <si>
    <t>03 C/O RETAINAGE EXPENSE</t>
  </si>
  <si>
    <t>580-6991</t>
  </si>
  <si>
    <t>BOND ISSUANCE COSTS</t>
  </si>
  <si>
    <t>580-7100</t>
  </si>
  <si>
    <t>06 Property Acquisition</t>
  </si>
  <si>
    <t>580-7102</t>
  </si>
  <si>
    <t>06 Golf Course Acquisition</t>
  </si>
  <si>
    <t>580-7111</t>
  </si>
  <si>
    <t>06 Wtr Tran Main WTP1 Des/Eng</t>
  </si>
  <si>
    <t>580-7112</t>
  </si>
  <si>
    <t>06 Wtr Tran Main WTP1 Const</t>
  </si>
  <si>
    <t>580-7202</t>
  </si>
  <si>
    <t>06 Replace Lower Bar K Tank</t>
  </si>
  <si>
    <t>580-7204</t>
  </si>
  <si>
    <t>06 Repaint Int Golf Ball Tank</t>
  </si>
  <si>
    <t>580-7206</t>
  </si>
  <si>
    <t>06 WTP 1 Improvements</t>
  </si>
  <si>
    <t>580-7208</t>
  </si>
  <si>
    <t>06 WTP 2 Improve (trans pump)</t>
  </si>
  <si>
    <t>580-7210</t>
  </si>
  <si>
    <t>06 Retro-Fit Tallon Tanks</t>
  </si>
  <si>
    <t>580-7212</t>
  </si>
  <si>
    <t>06 Centex Pres Plane 10 Pumps</t>
  </si>
  <si>
    <t>580-7214</t>
  </si>
  <si>
    <t>06 Centex Pres Plane 4-A Pumps</t>
  </si>
  <si>
    <t>580-7216</t>
  </si>
  <si>
    <t>06 Lohmans Ground Stor Tank</t>
  </si>
  <si>
    <t>580-7218</t>
  </si>
  <si>
    <t>06 Lohmans Pumps &amp; Tanks</t>
  </si>
  <si>
    <t>580-7220</t>
  </si>
  <si>
    <t>06 CITY HALL REMODEL</t>
  </si>
  <si>
    <t>580-7301</t>
  </si>
  <si>
    <t>06 WTP Exp &amp; PS Design/Eng</t>
  </si>
  <si>
    <t>580-7302</t>
  </si>
  <si>
    <t>06 WTP Exp Const (2.0MGD)</t>
  </si>
  <si>
    <t>580-7304</t>
  </si>
  <si>
    <t>06 WTP #1 BPStat (w/WTP exp)</t>
  </si>
  <si>
    <t>580-7401</t>
  </si>
  <si>
    <t>06 Extensions Engineering</t>
  </si>
  <si>
    <t>580-7402</t>
  </si>
  <si>
    <t>06 Misc. Wtr Line Extensions</t>
  </si>
  <si>
    <t>580-7500</t>
  </si>
  <si>
    <t>06 Relocate Maintenance Yard</t>
  </si>
  <si>
    <t>580-7701</t>
  </si>
  <si>
    <t>06 High Dr Lift Stat Rebui Eng</t>
  </si>
  <si>
    <t>580-7702</t>
  </si>
  <si>
    <t>06 High Dr Lift Stat Rebuild</t>
  </si>
  <si>
    <t>580-7704</t>
  </si>
  <si>
    <t>06 Misc Swr Line Extensions</t>
  </si>
  <si>
    <t>580-7706</t>
  </si>
  <si>
    <t>06 Cedar Glen Swr Ln Oversizin</t>
  </si>
  <si>
    <t>580-7800</t>
  </si>
  <si>
    <t>06 Parkland Acquisition</t>
  </si>
  <si>
    <t>580-7900</t>
  </si>
  <si>
    <t>06 Airport Exp CIP Match Funds</t>
  </si>
  <si>
    <t>580-8112</t>
  </si>
  <si>
    <t>08 CB/GC-IRRIGATION EXPANSION</t>
  </si>
  <si>
    <t>580-8122</t>
  </si>
  <si>
    <t>08 MANHOLE REHABILITATION</t>
  </si>
  <si>
    <t>580-8123</t>
  </si>
  <si>
    <t>08 AIRPORT WTR PRES PLAIN DESI</t>
  </si>
  <si>
    <t>580-8124</t>
  </si>
  <si>
    <t>08 WTP #1 &amp; 2 IMPROVEMENTS</t>
  </si>
  <si>
    <t>580-8126</t>
  </si>
  <si>
    <t>08 WWTP IMPROVEMENTS</t>
  </si>
  <si>
    <t>580-8128</t>
  </si>
  <si>
    <t>08 POLICE DEPARTMENT BUILDING</t>
  </si>
  <si>
    <t>580-8130</t>
  </si>
  <si>
    <t>08 TRAFFIC SIG @ LOHMAN &amp; DAWN</t>
  </si>
  <si>
    <t>580-8132</t>
  </si>
  <si>
    <t>08 TRANSPORTATION STUDY</t>
  </si>
  <si>
    <t>580-8134</t>
  </si>
  <si>
    <t>08 DRAINAGE MASTER PLAN-PHAS 1</t>
  </si>
  <si>
    <t>580-8136</t>
  </si>
  <si>
    <t>08 SPORTS COMP PARKING EXPANS</t>
  </si>
  <si>
    <t>580-8138</t>
  </si>
  <si>
    <t>08 STREET OVERLAYS</t>
  </si>
  <si>
    <t>580-8140</t>
  </si>
  <si>
    <t>08 ADD PUMP / TURNER LIFT STAT</t>
  </si>
  <si>
    <t>580-8142</t>
  </si>
  <si>
    <t>08 IMPACT FEE STUDY</t>
  </si>
  <si>
    <t>580-8144</t>
  </si>
  <si>
    <t>08 ALLEGIENCE PUMP STATION</t>
  </si>
  <si>
    <t>580-8146</t>
  </si>
  <si>
    <t>08 FIRE HYDRANT REPLACEMENTS</t>
  </si>
  <si>
    <t>580-8148</t>
  </si>
  <si>
    <t>08 PROPERTY ACQUISITION</t>
  </si>
  <si>
    <t>580-8150</t>
  </si>
  <si>
    <t>08 WTP #1 CLEAR WELL TANK R/R</t>
  </si>
  <si>
    <t>580-8152</t>
  </si>
  <si>
    <t>08 TURNER DISCHARGE LINE R&amp;M</t>
  </si>
  <si>
    <t>580-8154</t>
  </si>
  <si>
    <t>08 TEMP BARGE &amp; INTAKE PUMP</t>
  </si>
  <si>
    <t>580-8156</t>
  </si>
  <si>
    <t>08 CITY HALL ROOF REPLACEMENT</t>
  </si>
  <si>
    <t>580-8158</t>
  </si>
  <si>
    <t>08 WW EFFL DISCHARGE PERMIT</t>
  </si>
  <si>
    <t>580-8160</t>
  </si>
  <si>
    <t>09 FM 1431 IMPROVEMENTS CENTEX</t>
  </si>
  <si>
    <t>580-8162</t>
  </si>
  <si>
    <t>09 AIRPORT WATER LINE EXTENSIO</t>
  </si>
  <si>
    <t>580-8164</t>
  </si>
  <si>
    <t>09 WTP #3 PROP/EASEMENT/SITE P</t>
  </si>
  <si>
    <t>580-8166</t>
  </si>
  <si>
    <t>08 PD BLDG PROP &amp; SITE DEVELOP</t>
  </si>
  <si>
    <t>580-8168</t>
  </si>
  <si>
    <t>08 BUY DOWN DEBT FROM DEBT INT</t>
  </si>
  <si>
    <t>580-8170</t>
  </si>
  <si>
    <t>08 RAW  WTR INTAKE PUMP REPLAC</t>
  </si>
  <si>
    <t>580-8172</t>
  </si>
  <si>
    <t>10 HIGHLAND LAKES GOLF COURSE</t>
  </si>
  <si>
    <t>580-8173</t>
  </si>
  <si>
    <t>LAKESHORE WATER/SEWER/PAVING</t>
  </si>
  <si>
    <t>580-8174</t>
  </si>
  <si>
    <t>SHORELINE WTER/SEWR/CURB/DRAIN</t>
  </si>
  <si>
    <t>580-8175</t>
  </si>
  <si>
    <t>MV OFFSITE SEWER OVERSIZE</t>
  </si>
  <si>
    <t>580-8176</t>
  </si>
  <si>
    <t>WATER STORAGE TANK PARTICIP.</t>
  </si>
  <si>
    <t>580-8177</t>
  </si>
  <si>
    <t>FM 1431 TESSERA IMPROVEMENTS</t>
  </si>
  <si>
    <t>580-8178</t>
  </si>
  <si>
    <t>CITY HALL ENERGY EFFICIENCY</t>
  </si>
  <si>
    <t>580-8179</t>
  </si>
  <si>
    <t>POLICE &amp; UTILITY RADIOS</t>
  </si>
  <si>
    <t>580-8180</t>
  </si>
  <si>
    <t>RECOAT ALLEGIANCE TANK</t>
  </si>
  <si>
    <t>580-8181</t>
  </si>
  <si>
    <t>RECOAT WTP1 CLEAR WELL 2 INTER</t>
  </si>
  <si>
    <t>580-8182</t>
  </si>
  <si>
    <t>POND 17 SCREEN</t>
  </si>
  <si>
    <t>580-8183</t>
  </si>
  <si>
    <t>REMOTE METER READING</t>
  </si>
  <si>
    <t>580-8184</t>
  </si>
  <si>
    <t>WWTP HEADWORKS SCREEN</t>
  </si>
  <si>
    <t>580-8185</t>
  </si>
  <si>
    <t>WTP 1 &amp; 2 IMPROVEMENTS</t>
  </si>
  <si>
    <t>580-8186</t>
  </si>
  <si>
    <t>REPLACE DUCTILE WTR LINE-DAWN</t>
  </si>
  <si>
    <t>580-8187</t>
  </si>
  <si>
    <t>REMOTE WATER METER SYST PH 2</t>
  </si>
  <si>
    <t>580-8188</t>
  </si>
  <si>
    <t>HOLLOWS LIFT STATION</t>
  </si>
  <si>
    <t>580-8189</t>
  </si>
  <si>
    <t>LIBRARY EXPANSION</t>
  </si>
  <si>
    <t>580-8190</t>
  </si>
  <si>
    <t>BUTLER STANDPIPE REPAIRS</t>
  </si>
  <si>
    <t>580-8191</t>
  </si>
  <si>
    <t>UPPER &amp; LOWER BOONE DR LIFT ST</t>
  </si>
  <si>
    <t>580-8192</t>
  </si>
  <si>
    <t>TURNER LIFT STATION BIOCUBE</t>
  </si>
  <si>
    <t>580-8193</t>
  </si>
  <si>
    <t>REMOTE WTR METER SYS PH 3</t>
  </si>
  <si>
    <t>580-8194</t>
  </si>
  <si>
    <t>HOLLOWS OFFSITE FORCE MAIN</t>
  </si>
  <si>
    <t>580-8195</t>
  </si>
  <si>
    <t>WASTEWATER FORCE MAIN</t>
  </si>
  <si>
    <t>580-8196</t>
  </si>
  <si>
    <t>ELEVATED WTR STORAGE TANK</t>
  </si>
  <si>
    <t>580-8197</t>
  </si>
  <si>
    <t>16" WATER LINE</t>
  </si>
  <si>
    <t>580-8198</t>
  </si>
  <si>
    <t>ALLEGIANCE BOOSTER PUMP STATIO</t>
  </si>
  <si>
    <t>580-8199</t>
  </si>
  <si>
    <t>PUBLIC ACCESS SCHOOL FACILITIE</t>
  </si>
  <si>
    <t>580-8200</t>
  </si>
  <si>
    <t>PID OFFSITE FORCEMAIN UPSIZING</t>
  </si>
  <si>
    <t>580-8201</t>
  </si>
  <si>
    <t>PID WWTP IMPROVEMENTS</t>
  </si>
  <si>
    <t>580-8202</t>
  </si>
  <si>
    <t>PID BAR-K/TURNER IMPROVEMENTS</t>
  </si>
  <si>
    <t>580-8203</t>
  </si>
  <si>
    <t>PID TXDOT IMPROVEMENTS</t>
  </si>
  <si>
    <t>580-8204</t>
  </si>
  <si>
    <t>PID WTP #1 UPGRADES</t>
  </si>
  <si>
    <t>580-8205</t>
  </si>
  <si>
    <t>WTP #1 RAW WATER PUMP REPLACEM</t>
  </si>
  <si>
    <t>580-8206</t>
  </si>
  <si>
    <t>PROPOSED AIRPORT TAXIWAY</t>
  </si>
  <si>
    <t>580-8207</t>
  </si>
  <si>
    <t>WATER METER INSTALLATION</t>
  </si>
  <si>
    <t>580-8208</t>
  </si>
  <si>
    <t>JONESTOWN PUMP &amp; HAUL</t>
  </si>
  <si>
    <t>580-8209</t>
  </si>
  <si>
    <t>JONESTOWN FM/LIFT STATION CONS</t>
  </si>
  <si>
    <t>580-8210</t>
  </si>
  <si>
    <t>JONESTOWN EFFLUENT LINE</t>
  </si>
  <si>
    <t>580-8211</t>
  </si>
  <si>
    <t>HOLLOWS WATER QUALITY CONST.</t>
  </si>
  <si>
    <t>580-8212</t>
  </si>
  <si>
    <t>AUSTIN BOULEVARD PAVING</t>
  </si>
  <si>
    <t>580-8213</t>
  </si>
  <si>
    <t>DROUGHT EMERGENCY STRAW</t>
  </si>
  <si>
    <t>580-8214</t>
  </si>
  <si>
    <t>580-8215</t>
  </si>
  <si>
    <t>PURCHASE LOT TAXIWAY/ROLLING H</t>
  </si>
  <si>
    <t>580-8216</t>
  </si>
  <si>
    <t>WATER/SEWER IMPACT FEE STUDY</t>
  </si>
  <si>
    <t>580-8217</t>
  </si>
  <si>
    <t>580-8218</t>
  </si>
  <si>
    <t>LAKESHORE POINTE EXTENSION</t>
  </si>
  <si>
    <t>580-8219</t>
  </si>
  <si>
    <t>HLGC MOD SPACE BUILDING</t>
  </si>
  <si>
    <t>580-8220</t>
  </si>
  <si>
    <t>AIRPORT ACTION PLAN</t>
  </si>
  <si>
    <t>580-8221</t>
  </si>
  <si>
    <t>WTP #1 REHABILITATION</t>
  </si>
  <si>
    <t>580-8222</t>
  </si>
  <si>
    <t>BRONCO LANE STREET REPAIR</t>
  </si>
  <si>
    <t>580-8223</t>
  </si>
  <si>
    <t>COMPREHENSIVE PLAN UPDATE</t>
  </si>
  <si>
    <t>580-8224</t>
  </si>
  <si>
    <t>OTWELL LAND ACQUISITION</t>
  </si>
  <si>
    <t>580-8225</t>
  </si>
  <si>
    <t>CART PATH REPLACEMENT</t>
  </si>
  <si>
    <t>580-8226</t>
  </si>
  <si>
    <t>SAFE ROUTES/SCHOOLS-SIDEWALKS</t>
  </si>
  <si>
    <t>580-8227</t>
  </si>
  <si>
    <t>SHADE STRUCTURE - BALLFIELD</t>
  </si>
  <si>
    <t>580-8228</t>
  </si>
  <si>
    <t>WWTP IMPROVEMENTS</t>
  </si>
  <si>
    <t>580-8229</t>
  </si>
  <si>
    <t>CAMILLE &amp; DAWN INTERESECTION</t>
  </si>
  <si>
    <t>580-8230</t>
  </si>
  <si>
    <t>TRAFFIC SIGNAL LOHMAN/BOGGY</t>
  </si>
  <si>
    <t>580-8231</t>
  </si>
  <si>
    <t>WATER SYSTEM MASTER PLAN</t>
  </si>
  <si>
    <t>580-8232</t>
  </si>
  <si>
    <t>RADIO STATION</t>
  </si>
  <si>
    <t>580-8233</t>
  </si>
  <si>
    <t>PAVING MASTER PLAN</t>
  </si>
  <si>
    <t>580-8234</t>
  </si>
  <si>
    <t>580-8235</t>
  </si>
  <si>
    <t>LAGO VISTA CLUB HOUSE REPAIRS</t>
  </si>
  <si>
    <t>580-8236</t>
  </si>
  <si>
    <t>AIRPORT TIE DOWNS</t>
  </si>
  <si>
    <t>580-8237</t>
  </si>
  <si>
    <t>WATER QUALITY IMPROVEMENTS</t>
  </si>
  <si>
    <t>580-8238</t>
  </si>
  <si>
    <t>LIFT STATION SCADA IMPROVEMENT</t>
  </si>
  <si>
    <t>580-8239</t>
  </si>
  <si>
    <t>VETERANS PARK</t>
  </si>
  <si>
    <t>580-8240</t>
  </si>
  <si>
    <t>SPORTS COMPLEX IMPROVEMENTS</t>
  </si>
  <si>
    <t>580-8241</t>
  </si>
  <si>
    <t>STREET REHABILITATION PROGRAM</t>
  </si>
  <si>
    <t>580-8242</t>
  </si>
  <si>
    <t>WATER MASTER PLAN #1 RECOMM</t>
  </si>
  <si>
    <t>580-8243</t>
  </si>
  <si>
    <t>LAGO VISTA PARK PROJECT</t>
  </si>
  <si>
    <t>580-8244</t>
  </si>
  <si>
    <t>WTP#2 DEMOLITION</t>
  </si>
  <si>
    <t>580-8245</t>
  </si>
  <si>
    <t>AIRPORT MOD SPACE BLDG</t>
  </si>
  <si>
    <t>580-8246</t>
  </si>
  <si>
    <t>BACK UP GENERATOR FOR NETWORK</t>
  </si>
  <si>
    <t>580-8247</t>
  </si>
  <si>
    <t>580-8248</t>
  </si>
  <si>
    <t>2018 LCRA REUSE GRANT</t>
  </si>
  <si>
    <t>580-8249</t>
  </si>
  <si>
    <t>LOHMAN TANK-PART 2</t>
  </si>
  <si>
    <t>580-8250</t>
  </si>
  <si>
    <t>CIVIC LOOP WATERLINE-PART 3</t>
  </si>
  <si>
    <t>580-8251</t>
  </si>
  <si>
    <t>CONTINUING STREET MAINTENANCE</t>
  </si>
  <si>
    <t>580-8252</t>
  </si>
  <si>
    <t>CCN APPLICATION - IMPACT FEES</t>
  </si>
  <si>
    <t>580-8253</t>
  </si>
  <si>
    <t>IT VIRTUAL CLUSTER BACKUP NODE</t>
  </si>
  <si>
    <t>580-8254</t>
  </si>
  <si>
    <t>MOBILE GENERATOR &amp; LIGHTING</t>
  </si>
  <si>
    <t>580-8255</t>
  </si>
  <si>
    <t>IT NETWORK PENETRATION TEST</t>
  </si>
  <si>
    <t>580-8256</t>
  </si>
  <si>
    <t>WATERLINE TO CITY PARK</t>
  </si>
  <si>
    <t>580-8257</t>
  </si>
  <si>
    <t>LEAK DETECTION SURVEY</t>
  </si>
  <si>
    <t>580-8258</t>
  </si>
  <si>
    <t>PUBLIC WORKS BREAK ROOM</t>
  </si>
  <si>
    <t>580-8259</t>
  </si>
  <si>
    <t>GOLF COURSE RECONSTRUCTION</t>
  </si>
  <si>
    <t>580-8260</t>
  </si>
  <si>
    <t>UNDERGROUND UTILITIES</t>
  </si>
  <si>
    <t>580-8261</t>
  </si>
  <si>
    <t>AIRPORT HANGARS</t>
  </si>
  <si>
    <t>580-8262</t>
  </si>
  <si>
    <t>WTP #3 MAINTENANCE BUILDING</t>
  </si>
  <si>
    <t>580-8263</t>
  </si>
  <si>
    <t>WTP3 SLUDGE POND/WTR SYSTEM BA</t>
  </si>
  <si>
    <t>580-8264</t>
  </si>
  <si>
    <t>WTP #3 GENERATOR</t>
  </si>
  <si>
    <t>580-8265</t>
  </si>
  <si>
    <t>580-8266</t>
  </si>
  <si>
    <t>METER SYSTEM AMI INSTALL</t>
  </si>
  <si>
    <t>580-8267</t>
  </si>
  <si>
    <t>PUBLIC WORKS OPERATIONS</t>
  </si>
  <si>
    <t>580-8268</t>
  </si>
  <si>
    <t>WTP EXPANSION</t>
  </si>
  <si>
    <t>580-8269</t>
  </si>
  <si>
    <t>WATERLINE: BAR-K TO BRONCO</t>
  </si>
  <si>
    <t>580-8270</t>
  </si>
  <si>
    <t>2025 STREET RESURFACE-CO BONDS</t>
  </si>
  <si>
    <t>580-8911</t>
  </si>
  <si>
    <t>TRANSFERS OUT</t>
  </si>
  <si>
    <t>580-9000</t>
  </si>
  <si>
    <t>TRANSFERS-DUE TO DUE FROM</t>
  </si>
  <si>
    <t>580-9010</t>
  </si>
  <si>
    <t>DEBT ISSUANCE COST</t>
  </si>
  <si>
    <t>42 -IMPA</t>
  </si>
  <si>
    <t>CT FEE FUND</t>
  </si>
  <si>
    <t>50- INVE</t>
  </si>
  <si>
    <t>STMENT INTEREST</t>
  </si>
  <si>
    <t>INTEREST ON INVESTMENT</t>
  </si>
  <si>
    <t>50- INVESTMENT INTEREST</t>
  </si>
  <si>
    <t>IMPACT REVENUE</t>
  </si>
  <si>
    <t>460-4350</t>
  </si>
  <si>
    <t>WATER IMPACT FEES</t>
  </si>
  <si>
    <t>460-9100</t>
  </si>
  <si>
    <t>WATER IMPACT FEE RESERVE</t>
  </si>
  <si>
    <t>60-WATER IMPACT REVENUE</t>
  </si>
  <si>
    <t>470-4350</t>
  </si>
  <si>
    <t>WASTEWATER IMPACT FEES</t>
  </si>
  <si>
    <t>470-9100</t>
  </si>
  <si>
    <t>WASTEWATER IMPACT FEE RESERVE</t>
  </si>
  <si>
    <t>70-SEWER IMPACT REVENUE</t>
  </si>
  <si>
    <t>10-IMPAC</t>
  </si>
  <si>
    <t>T FEE ADMIN</t>
  </si>
  <si>
    <t>TRANSFER TO DEBT</t>
  </si>
  <si>
    <t>60-IMPAC</t>
  </si>
  <si>
    <t>T FEE WATER</t>
  </si>
  <si>
    <t>560-4765</t>
  </si>
  <si>
    <t>REBATE - LVISD WATER TANK</t>
  </si>
  <si>
    <t>560-5000</t>
  </si>
  <si>
    <t>TRANSFER WATER IMPACT FEES/CIP</t>
  </si>
  <si>
    <t>560-5025</t>
  </si>
  <si>
    <t>TRANS WATER IMPACT FEE INT/CIP</t>
  </si>
  <si>
    <t>WTR IMPACT FEE REFUND</t>
  </si>
  <si>
    <t>70-IMPAC</t>
  </si>
  <si>
    <t>T FEE SEWER</t>
  </si>
  <si>
    <t>570-5100</t>
  </si>
  <si>
    <t>TRANS WASTEWATER IMPACT/CIP</t>
  </si>
  <si>
    <t>570-5125</t>
  </si>
  <si>
    <t>TRAN WASTEWATER IMPACT INT/CIP</t>
  </si>
  <si>
    <t>ENGINEERING SERVICES</t>
  </si>
  <si>
    <t>SWR IMPACT FEE REFUND</t>
  </si>
  <si>
    <t>43 -PARK</t>
  </si>
  <si>
    <t>LAND FEE FUND</t>
  </si>
  <si>
    <t>43 PARK</t>
  </si>
  <si>
    <t>FUND</t>
  </si>
  <si>
    <t>460-1410</t>
  </si>
  <si>
    <t>PARK LAND REVENUE</t>
  </si>
  <si>
    <t>460-9000</t>
  </si>
  <si>
    <t>460-9700</t>
  </si>
  <si>
    <t>TRANSFERS - DUE TO DUE FROM</t>
  </si>
  <si>
    <t>43 PARK FUND</t>
  </si>
  <si>
    <t>560-9000</t>
  </si>
  <si>
    <t>PARK FUND ASSETS</t>
  </si>
  <si>
    <t>560-9500</t>
  </si>
  <si>
    <t>PARK FUND TRANSFER TO CIP</t>
  </si>
  <si>
    <t>50 -DEBT</t>
  </si>
  <si>
    <t>80-ACCUM</t>
  </si>
  <si>
    <t>ULATED INTEREST</t>
  </si>
  <si>
    <t>LOGIC 2003 DEBT SVC INTEREST</t>
  </si>
  <si>
    <t>LOGIC 2001 G/O BOND INTEREST</t>
  </si>
  <si>
    <t>LOGIC 2005 G/O REFUND BOND INT</t>
  </si>
  <si>
    <t>LOGIC 2006 C/O BOND INTEREST</t>
  </si>
  <si>
    <t>LOGIC 2008 C/O BOND INTEREST</t>
  </si>
  <si>
    <t>AD VALOREM - INTEREST INCOME</t>
  </si>
  <si>
    <t>480-5000</t>
  </si>
  <si>
    <t>TRANSFER FROM CAPITAL PROJECTS</t>
  </si>
  <si>
    <t>PREMIUM</t>
  </si>
  <si>
    <t>480-9106</t>
  </si>
  <si>
    <t>TRANSFER FROM CIP FUND</t>
  </si>
  <si>
    <t>480-9107</t>
  </si>
  <si>
    <t>480-9108</t>
  </si>
  <si>
    <t>TRANSFER FROM GOLF COURSE FUND</t>
  </si>
  <si>
    <t>480-9109</t>
  </si>
  <si>
    <t>TRANSFER FROM IMPACT FEE FUND</t>
  </si>
  <si>
    <t>480-9990</t>
  </si>
  <si>
    <t>TRANSFER FROM BLUE POLY FUND</t>
  </si>
  <si>
    <t>80-ACCUMULATED INTEREST</t>
  </si>
  <si>
    <t>85-AD VA</t>
  </si>
  <si>
    <t>LOREM &amp; OTHER</t>
  </si>
  <si>
    <t>485-1110</t>
  </si>
  <si>
    <t>AD VALOREM TAXES FOR DEBT SVC</t>
  </si>
  <si>
    <t>485-1111</t>
  </si>
  <si>
    <t>485-1115</t>
  </si>
  <si>
    <t>BUY DOWN FROM DEBT</t>
  </si>
  <si>
    <t>485-1410</t>
  </si>
  <si>
    <t>485-1500</t>
  </si>
  <si>
    <t>BOND FUNDING REVENUE</t>
  </si>
  <si>
    <t>485-1600</t>
  </si>
  <si>
    <t>2010 TAX NOTE</t>
  </si>
  <si>
    <t>485-9000</t>
  </si>
  <si>
    <t>1994 CERTIFICATES OF OBL.</t>
  </si>
  <si>
    <t>485-9900</t>
  </si>
  <si>
    <t>DEBT SERVICE RESERVE</t>
  </si>
  <si>
    <t>85-AD VALOREM &amp; OTHER</t>
  </si>
  <si>
    <t>LEASE PU</t>
  </si>
  <si>
    <t>RCHASE</t>
  </si>
  <si>
    <t>580-1201</t>
  </si>
  <si>
    <t>BOND EXPENSE</t>
  </si>
  <si>
    <t>LEASE PURCHASE</t>
  </si>
  <si>
    <t>585-4575</t>
  </si>
  <si>
    <t>585-7009</t>
  </si>
  <si>
    <t>SS - BACK HOE PRIN</t>
  </si>
  <si>
    <t>585-7010</t>
  </si>
  <si>
    <t>SS - BACK HOE INT</t>
  </si>
  <si>
    <t>585-7911</t>
  </si>
  <si>
    <t>REFUNDING BOND PROCEEDS</t>
  </si>
  <si>
    <t>585-7916</t>
  </si>
  <si>
    <t>AUDITOR</t>
  </si>
  <si>
    <t>ADJ</t>
  </si>
  <si>
    <t>BOND ISSUE COST</t>
  </si>
  <si>
    <t>585-8949</t>
  </si>
  <si>
    <t>PAYMENT TO ESCROW AGENT</t>
  </si>
  <si>
    <t>AUDITOR ADJ</t>
  </si>
  <si>
    <t>585-9770</t>
  </si>
  <si>
    <t>585-9800</t>
  </si>
  <si>
    <t>PRINCIPAL PAYMENT</t>
  </si>
  <si>
    <t>585-9801</t>
  </si>
  <si>
    <t>INTEREST EXPENSE</t>
  </si>
  <si>
    <t>585-9802</t>
  </si>
  <si>
    <t>1999 C/O - PRIN</t>
  </si>
  <si>
    <t>585-9803</t>
  </si>
  <si>
    <t>1999 C/O - INT</t>
  </si>
  <si>
    <t>585-9804</t>
  </si>
  <si>
    <t>1999 REFUNDING BOND - PRIN</t>
  </si>
  <si>
    <t>585-9805</t>
  </si>
  <si>
    <t>1999 REFUNDING BOND - INT</t>
  </si>
  <si>
    <t>585-9806</t>
  </si>
  <si>
    <t>2000 C/O - PRIN</t>
  </si>
  <si>
    <t>585-9807</t>
  </si>
  <si>
    <t>2000 C/O - INT</t>
  </si>
  <si>
    <t>585-9808</t>
  </si>
  <si>
    <t>2001 GEN OBLIG - PRIN</t>
  </si>
  <si>
    <t>585-9809</t>
  </si>
  <si>
    <t>2001 GEN OBLIG - INT</t>
  </si>
  <si>
    <t>585-9810</t>
  </si>
  <si>
    <t>2003 C/O - PRIN</t>
  </si>
  <si>
    <t>585-9811</t>
  </si>
  <si>
    <t>2003 C/O - INT</t>
  </si>
  <si>
    <t>585-9812</t>
  </si>
  <si>
    <t>2005 REFUNDING GEN/OB - PRIN</t>
  </si>
  <si>
    <t>585-9813</t>
  </si>
  <si>
    <t>2005 REFUNDING GEN/OB - INT</t>
  </si>
  <si>
    <t>585-9814</t>
  </si>
  <si>
    <t>2006 C/O - PRIN</t>
  </si>
  <si>
    <t>585-9815</t>
  </si>
  <si>
    <t>2006 C/O - INT</t>
  </si>
  <si>
    <t>585-9816</t>
  </si>
  <si>
    <t>2008 C/O - PRIN</t>
  </si>
  <si>
    <t>585-9817</t>
  </si>
  <si>
    <t>2008 C/O - INT</t>
  </si>
  <si>
    <t>585-9818</t>
  </si>
  <si>
    <t>2009 C/O - PRIN</t>
  </si>
  <si>
    <t>585-9819</t>
  </si>
  <si>
    <t>2009 C/O - INT</t>
  </si>
  <si>
    <t>585-9820</t>
  </si>
  <si>
    <t>2010 TAX NOTES - PRINCIPAL</t>
  </si>
  <si>
    <t>585-9821</t>
  </si>
  <si>
    <t>2010 TAX NOTES - INTEREST</t>
  </si>
  <si>
    <t>585-9822</t>
  </si>
  <si>
    <t>2011 REFUNDING GO BOND - PRINC</t>
  </si>
  <si>
    <t>585-9823</t>
  </si>
  <si>
    <t>2011 REFUNDING GO BOND - INT</t>
  </si>
  <si>
    <t>585-9824</t>
  </si>
  <si>
    <t>2014 CO - PRINCIPAL</t>
  </si>
  <si>
    <t>585-9825</t>
  </si>
  <si>
    <t>2014 CO - INTEREST</t>
  </si>
  <si>
    <t>585-9826</t>
  </si>
  <si>
    <t>2015 GO REFUNDING/2005 - PRINC</t>
  </si>
  <si>
    <t>585-9827</t>
  </si>
  <si>
    <t>2015 GO REFUNDING/2005 INTERE</t>
  </si>
  <si>
    <t>585-9828</t>
  </si>
  <si>
    <t>2015 TAX NOTE - PRINCIPAL</t>
  </si>
  <si>
    <t>585-9829</t>
  </si>
  <si>
    <t>2015 TAX NOTE - INTEREST</t>
  </si>
  <si>
    <t>585-9830</t>
  </si>
  <si>
    <t>2015  TAX NOTE-PRINCIPAL-OTWEL</t>
  </si>
  <si>
    <t>585-9831</t>
  </si>
  <si>
    <t>2015 TAX NOTE-INTEREST-0TWELL</t>
  </si>
  <si>
    <t>585-9832</t>
  </si>
  <si>
    <t>2016A REFUNDING TAX NOTE-PRINC</t>
  </si>
  <si>
    <t>585-9834</t>
  </si>
  <si>
    <t>2016B REFUNDING TAX NOTE-PRINC</t>
  </si>
  <si>
    <t>585-9836</t>
  </si>
  <si>
    <t>2017 CO-PRINCIPAL</t>
  </si>
  <si>
    <t>585-9838</t>
  </si>
  <si>
    <t>2024 CO - PRINCIPAL</t>
  </si>
  <si>
    <t>585-9839</t>
  </si>
  <si>
    <t>2024 CO - INTEREST</t>
  </si>
  <si>
    <t>585-9900</t>
  </si>
  <si>
    <t>60 -GENE</t>
  </si>
  <si>
    <t>RAL FUND GRANTS</t>
  </si>
  <si>
    <t>90 -GENE</t>
  </si>
  <si>
    <t>RAL FIXED ASSETS</t>
  </si>
  <si>
    <t>95 -GENE</t>
  </si>
  <si>
    <t>RAL LONG-TERM DEBT</t>
  </si>
  <si>
    <t>98 -PAYR</t>
  </si>
  <si>
    <t>OLL CLEARING ACCOUNT</t>
  </si>
  <si>
    <t>99 -DISB</t>
  </si>
  <si>
    <t>URSEMENT ACCOUNT</t>
  </si>
  <si>
    <t>CONSOLIDATED STATEMENT</t>
  </si>
  <si>
    <t xml:space="preserve">2024-2025 </t>
  </si>
  <si>
    <t xml:space="preserve">(------- </t>
  </si>
  <si>
    <t xml:space="preserve">2025-2026 </t>
  </si>
  <si>
    <t xml:space="preserve"> --------)</t>
  </si>
  <si>
    <t>BASE BUDGET</t>
  </si>
  <si>
    <t>SUPPLEMENTAL</t>
  </si>
  <si>
    <t>TOTAL BUDGET</t>
  </si>
  <si>
    <t>REQUESTS</t>
  </si>
  <si>
    <t>General Fund 10</t>
  </si>
  <si>
    <t xml:space="preserve"> </t>
  </si>
  <si>
    <t>Beginning Fund Balance</t>
  </si>
  <si>
    <t>Revenues</t>
  </si>
  <si>
    <t>Transfer from Utility Fund</t>
  </si>
  <si>
    <t>Expenditures:</t>
  </si>
  <si>
    <t>Administration</t>
  </si>
  <si>
    <t>Non Department Budget</t>
  </si>
  <si>
    <t>Development Services</t>
  </si>
  <si>
    <t>Finance</t>
  </si>
  <si>
    <t>Human Resources</t>
  </si>
  <si>
    <t>Municipal Court</t>
  </si>
  <si>
    <t>City Secretary</t>
  </si>
  <si>
    <t>Economic Development</t>
  </si>
  <si>
    <t>Legal</t>
  </si>
  <si>
    <t>Police Department</t>
  </si>
  <si>
    <t>Code Enforcement</t>
  </si>
  <si>
    <t>Police Dispatch</t>
  </si>
  <si>
    <t>Street Department</t>
  </si>
  <si>
    <t>Solid Waste</t>
  </si>
  <si>
    <t>Building Maintenance</t>
  </si>
  <si>
    <t>Parks &amp; Recreation</t>
  </si>
  <si>
    <t>Aquatics</t>
  </si>
  <si>
    <t>Aviation -  See Aviation Fund</t>
  </si>
  <si>
    <t>Library</t>
  </si>
  <si>
    <t>City Council Members</t>
  </si>
  <si>
    <t>General Fund Information Technology</t>
  </si>
  <si>
    <t>Transfer to Aviation</t>
  </si>
  <si>
    <t>Transfer to CIP</t>
  </si>
  <si>
    <t>Transfer to LVGC</t>
  </si>
  <si>
    <t>Transfer to HLGC</t>
  </si>
  <si>
    <t>5% COLA Rate Increase</t>
  </si>
  <si>
    <t>Salary Market Adjustment</t>
  </si>
  <si>
    <t>General Fund Total Expenses</t>
  </si>
  <si>
    <t>Surplus (deficit)</t>
  </si>
  <si>
    <t>Adjustment/Match Audit Fund Balance</t>
  </si>
  <si>
    <t>Ending Fund Balance</t>
  </si>
  <si>
    <t>Aviation Fund 14</t>
  </si>
  <si>
    <t>Transfers In</t>
  </si>
  <si>
    <t>Expenditures</t>
  </si>
  <si>
    <t>Golf Course Fund 15</t>
  </si>
  <si>
    <t>LVGC Revenue</t>
  </si>
  <si>
    <t>Capital Contribution - Audit Entry</t>
  </si>
  <si>
    <t>Transfer from the General Fund</t>
  </si>
  <si>
    <t>LVGC Pro Shop &amp; Snack Bar</t>
  </si>
  <si>
    <t>LVGC Maintenance</t>
  </si>
  <si>
    <t>LVGC Depreciation</t>
  </si>
  <si>
    <t>LVGC 5% COLA Rate Increase</t>
  </si>
  <si>
    <t>LVGC Market Adjustment</t>
  </si>
  <si>
    <t>Golf Course Fund Total Expenses</t>
  </si>
  <si>
    <t>Utility Fund 30</t>
  </si>
  <si>
    <t>Utility Administration</t>
  </si>
  <si>
    <t>General Fund Transfer</t>
  </si>
  <si>
    <t>Transfer To Debt Service</t>
  </si>
  <si>
    <t>Utility Fund Information Technology</t>
  </si>
  <si>
    <t>Public Works Administration</t>
  </si>
  <si>
    <t>Water Services</t>
  </si>
  <si>
    <t>Water Plant Number One</t>
  </si>
  <si>
    <t>Water Plant Number Two</t>
  </si>
  <si>
    <t>Water Plant Number Three</t>
  </si>
  <si>
    <t>Sewer Services</t>
  </si>
  <si>
    <t>Waste Water Treatment Plant</t>
  </si>
  <si>
    <t>Effluent Disposal</t>
  </si>
  <si>
    <t>Transfer to Lago Vista Golf Course</t>
  </si>
  <si>
    <t>Transfer to Highland Lake Golf Course</t>
  </si>
  <si>
    <t>Booster Pump Stations</t>
  </si>
  <si>
    <t>Lift Stations</t>
  </si>
  <si>
    <t>Rewards Program</t>
  </si>
  <si>
    <t>Depreciation</t>
  </si>
  <si>
    <t>Market Adjustment</t>
  </si>
  <si>
    <t>Utility Fund Total Expenses</t>
  </si>
  <si>
    <t>TOTAL REVENUE:</t>
  </si>
  <si>
    <t xml:space="preserve">  GENERAL FUND</t>
  </si>
  <si>
    <t xml:space="preserve">  AVIATION FUND</t>
  </si>
  <si>
    <t xml:space="preserve">  GOLF COURSE FUND</t>
  </si>
  <si>
    <t xml:space="preserve">  UTILITY FUND</t>
  </si>
  <si>
    <t>TOTAL EXPENDITURES:</t>
  </si>
  <si>
    <t>SURPLUS (DEFICIT)</t>
  </si>
  <si>
    <t>Hotel Occupancy Fund 11</t>
  </si>
  <si>
    <t>Transfer from Logic Investment</t>
  </si>
  <si>
    <t>Bed Tax Interest Income</t>
  </si>
  <si>
    <t>Existing Hotel Occupancy Funds</t>
  </si>
  <si>
    <t>Construction Fund 40</t>
  </si>
  <si>
    <t>New Bond Proceeds</t>
  </si>
  <si>
    <t>Interest</t>
  </si>
  <si>
    <t>Grants</t>
  </si>
  <si>
    <t>Trans/Water Impact Fee/Int</t>
  </si>
  <si>
    <t>Trans/WasteWater Impact Fee/Int</t>
  </si>
  <si>
    <t>Transfer from Park Fund</t>
  </si>
  <si>
    <t>Transfer from General Fund Reserves</t>
  </si>
  <si>
    <t>Transfer from Utility Fund Reserves</t>
  </si>
  <si>
    <t>Existing Funds-Fund Balance</t>
  </si>
  <si>
    <t>Audit Entry - Transfers Due To/Due From</t>
  </si>
  <si>
    <t>Impact Fee Fund 42</t>
  </si>
  <si>
    <t>Revenues Impact Fees</t>
  </si>
  <si>
    <t>Revenues (Water Impact Fees)</t>
  </si>
  <si>
    <t>Revenues (Waste Water Impact Fees)</t>
  </si>
  <si>
    <t>Interest Income</t>
  </si>
  <si>
    <t>Water Impact Fee Reserves</t>
  </si>
  <si>
    <t>Wastewater Impact Fee Reserves</t>
  </si>
  <si>
    <t>Transfer to Debt Service</t>
  </si>
  <si>
    <t xml:space="preserve">   Water Impact Fees</t>
  </si>
  <si>
    <t xml:space="preserve">   Wastewater Impact Fees</t>
  </si>
  <si>
    <t>Debt Service Fund 50</t>
  </si>
  <si>
    <t xml:space="preserve">    Ad Valorem Tax</t>
  </si>
  <si>
    <t xml:space="preserve">   Ad Valoren Penalties &amp; Interest</t>
  </si>
  <si>
    <t xml:space="preserve">    Accumulated Interest</t>
  </si>
  <si>
    <t xml:space="preserve">    Bond Funding Revenue</t>
  </si>
  <si>
    <t xml:space="preserve"> Transfer from  Debt Service Interest Acct</t>
  </si>
  <si>
    <t xml:space="preserve">    Buy Down of Debt</t>
  </si>
  <si>
    <t xml:space="preserve">       Impact Fees</t>
  </si>
  <si>
    <t xml:space="preserve">       Interest From Unspent Debt</t>
  </si>
  <si>
    <t xml:space="preserve">       Unused Bond Issuance Costs</t>
  </si>
  <si>
    <t xml:space="preserve">       Golf Course</t>
  </si>
  <si>
    <t>Transfers Due to Due From</t>
  </si>
  <si>
    <t>Park Fund 43</t>
  </si>
  <si>
    <t>Transfers - Park Fund Reserves</t>
  </si>
  <si>
    <t>Accumulated Interest</t>
  </si>
  <si>
    <t>Total Revenues</t>
  </si>
  <si>
    <t>Total Expenditures</t>
  </si>
  <si>
    <t>Combined Surplus(Deficit)</t>
  </si>
  <si>
    <t>Surplus(Deficit) Verification</t>
  </si>
  <si>
    <t>AD VALOREM PENALTIES &amp; INTEREST</t>
  </si>
  <si>
    <t>Reimbursement- Debt Service Payments</t>
  </si>
  <si>
    <t>TOTAL REVENUES</t>
  </si>
  <si>
    <t>ADMINISTRATION</t>
  </si>
  <si>
    <t>Holiday Tree Lighting</t>
  </si>
  <si>
    <t>4th of July Fireworks</t>
  </si>
  <si>
    <t>4th of July Parade/ 5K/ Festival</t>
  </si>
  <si>
    <t>Winter Series Drive-in Movies (3 events)</t>
  </si>
  <si>
    <t>Summer Music Series (3 events)</t>
  </si>
  <si>
    <t>Aviation Day Celebration (Airport)</t>
  </si>
  <si>
    <t>Beat the Heat Back-to-School Bash</t>
  </si>
  <si>
    <t>Sunset Yoga in the Park (Sunset Park)</t>
  </si>
  <si>
    <t>NON DEPARTMENTAL</t>
  </si>
  <si>
    <t>512-6135</t>
  </si>
  <si>
    <t>Camino Technologies</t>
  </si>
  <si>
    <t>Deckard</t>
  </si>
  <si>
    <t>DEVELOPMENT SERVICES</t>
  </si>
  <si>
    <t>13-FINANCE</t>
  </si>
  <si>
    <t>FINANCE</t>
  </si>
  <si>
    <t>14-HUMAN RESOURSES</t>
  </si>
  <si>
    <t>TX Municipal HR Association</t>
  </si>
  <si>
    <t>Society for Human Resources Managament-SHRM</t>
  </si>
  <si>
    <t>TX Social Security Program Admin fee</t>
  </si>
  <si>
    <t>Fall</t>
  </si>
  <si>
    <t>Christmas</t>
  </si>
  <si>
    <t>Spring</t>
  </si>
  <si>
    <t>Summer</t>
  </si>
  <si>
    <t>Payroll/HRIS system/benefits system</t>
  </si>
  <si>
    <t>Pre-employment screening-Carenow</t>
  </si>
  <si>
    <t>HUMAN RESOURSES</t>
  </si>
  <si>
    <t>MUNICIPAL COURT</t>
  </si>
  <si>
    <t>16-CITY SECRETARY</t>
  </si>
  <si>
    <t>Certifications</t>
  </si>
  <si>
    <t>Civic Plus</t>
  </si>
  <si>
    <t>Municode</t>
  </si>
  <si>
    <t>17-ECONOMIC DEVELOPMENT</t>
  </si>
  <si>
    <t>TEDC Annual Conference(October)</t>
  </si>
  <si>
    <t>TEDC Winter Conference(June)</t>
  </si>
  <si>
    <t>TML Annual Conference (October)</t>
  </si>
  <si>
    <t>TML Economic Development Conference(November)</t>
  </si>
  <si>
    <t>Retail Live South Central (September)</t>
  </si>
  <si>
    <t>ICSC Red River (February)</t>
  </si>
  <si>
    <t>TEDC</t>
  </si>
  <si>
    <t>TML</t>
  </si>
  <si>
    <t>Opportunity Austin</t>
  </si>
  <si>
    <t>RE Simplifi</t>
  </si>
  <si>
    <t>Retail Live Show</t>
  </si>
  <si>
    <t>Brew City</t>
  </si>
  <si>
    <t>TextMyGov *Previously in Admin budget</t>
  </si>
  <si>
    <t>Silktide(ADA compliance platform)</t>
  </si>
  <si>
    <t>Grant Writer</t>
  </si>
  <si>
    <t>Marketing Video</t>
  </si>
  <si>
    <t>Other Professional Services</t>
  </si>
  <si>
    <t>ECONOMIC DEVELOPMENT</t>
  </si>
  <si>
    <t>LEGAL</t>
  </si>
  <si>
    <t>DETECTIVE/SERGEANT</t>
  </si>
  <si>
    <t>POLICE SERGEANT PATROL</t>
  </si>
  <si>
    <t>COPS Grant Position</t>
  </si>
  <si>
    <t>Addition SRO Funded 71.5% by ISD</t>
  </si>
  <si>
    <t xml:space="preserve">Replace and/or add up to 4 sets of Body Armor </t>
  </si>
  <si>
    <t>Travel for Training and/or transport</t>
  </si>
  <si>
    <t>Funded by the State</t>
  </si>
  <si>
    <t xml:space="preserve">International Assoc. of Chief Police </t>
  </si>
  <si>
    <t>Texas Police Chiefs</t>
  </si>
  <si>
    <t>Sam's Club</t>
  </si>
  <si>
    <t>SRO Associations</t>
  </si>
  <si>
    <t>Telephone Service</t>
  </si>
  <si>
    <t>Call Forwarding</t>
  </si>
  <si>
    <t>Cell Phones</t>
  </si>
  <si>
    <t>Data Cards for MDCs</t>
  </si>
  <si>
    <t>A/C Filters</t>
  </si>
  <si>
    <t>Fire Extinguisher Inspections</t>
  </si>
  <si>
    <t>Equipment Repair</t>
  </si>
  <si>
    <t>Inspections</t>
  </si>
  <si>
    <t>Repairs</t>
  </si>
  <si>
    <t>Oil Changes</t>
  </si>
  <si>
    <t>Tires</t>
  </si>
  <si>
    <t>PRE-EMPLOYMENT EXPENSES</t>
  </si>
  <si>
    <t>New Employee Physical / Psychological</t>
  </si>
  <si>
    <t>BUILDING EXPENSES</t>
  </si>
  <si>
    <t>COMMUNITY OUTREACH</t>
  </si>
  <si>
    <t>Community Outreach Events &amp; Supplies</t>
  </si>
  <si>
    <t>Flock Cameras</t>
  </si>
  <si>
    <t>In-Car Computers</t>
  </si>
  <si>
    <t>Office / Misc. Supplies</t>
  </si>
  <si>
    <t>Fingerprint Kits, Evidence, Crime Scene Supplies</t>
  </si>
  <si>
    <t>Drug Test Kits</t>
  </si>
  <si>
    <t>Radar Calibration</t>
  </si>
  <si>
    <t>Shredding Company</t>
  </si>
  <si>
    <t>Monthly Payment on 2 x Copier Workcenter Leases</t>
  </si>
  <si>
    <t>Misc. Law Enforcement Supplies</t>
  </si>
  <si>
    <t>Ammunition</t>
  </si>
  <si>
    <t>Shooting Range Supplies</t>
  </si>
  <si>
    <t>PowerDMS / Powertime / PowerFTO Subscriptions</t>
  </si>
  <si>
    <t>Guardian Tracking Subscription</t>
  </si>
  <si>
    <t>PowerEngage Subscription</t>
  </si>
  <si>
    <t>GATRRS Radio Subscriber Fees</t>
  </si>
  <si>
    <t>Cleaning Service $710 x 12</t>
  </si>
  <si>
    <t>LEADS Annual Contract</t>
  </si>
  <si>
    <t>CrimeStar</t>
  </si>
  <si>
    <t>AXON OSP Annual Payment &amp; Fleet Annual Payment</t>
  </si>
  <si>
    <t>CLEAR Crime Subscription</t>
  </si>
  <si>
    <t>Motorola CAD / RMS/ Radio Mainenance Agreement</t>
  </si>
  <si>
    <t>Lease Payment on FY 24 - 25 Vehicles</t>
  </si>
  <si>
    <t>Lease Payments on Three Additional Vehicles</t>
  </si>
  <si>
    <t>POLICE DEPARTMENT</t>
  </si>
  <si>
    <t>22-CODE ENFORCEMENT</t>
  </si>
  <si>
    <t>Travel for Training @ $1,000 Per Employee</t>
  </si>
  <si>
    <t>Training for Code Enforcement @ $1,500 Per Employee</t>
  </si>
  <si>
    <t>Cellular Phones</t>
  </si>
  <si>
    <t>Animal Food, Cages, Equipment</t>
  </si>
  <si>
    <t>Annual Facility Inspection</t>
  </si>
  <si>
    <t>Contract(s) w / Animal Shelters</t>
  </si>
  <si>
    <t>Additional Funding for Shelter Contracts</t>
  </si>
  <si>
    <t>Contracts for clean-up, junk vehicle removal, etc.</t>
  </si>
  <si>
    <t>CODE ENFORCEMENT</t>
  </si>
  <si>
    <t>25-DISPATCHING</t>
  </si>
  <si>
    <t>Training @ $1,500 Per Employee</t>
  </si>
  <si>
    <t>New Employee Physical / Psychological Exams</t>
  </si>
  <si>
    <t>Office &amp; Misc. Supplies</t>
  </si>
  <si>
    <t>Generator Monthly Inspection &amp; Maintenance</t>
  </si>
  <si>
    <t>New Office Chairs</t>
  </si>
  <si>
    <t>DISPATCHING</t>
  </si>
  <si>
    <t>30-PUBLIC WORKS STREETS</t>
  </si>
  <si>
    <t>CDL School 1@4500.00</t>
  </si>
  <si>
    <t>CPO re-certification 1@ 425.00</t>
  </si>
  <si>
    <t>PEC projected rate increase 3.5%</t>
  </si>
  <si>
    <t xml:space="preserve"> pole saw 1@750.00</t>
  </si>
  <si>
    <t>chain saw 2@ 500.00 ea</t>
  </si>
  <si>
    <t>weed eaters 2@ 600.00 ea.</t>
  </si>
  <si>
    <t>back pack blower 1@ 750.00</t>
  </si>
  <si>
    <t>plate compactor 1@3000.00</t>
  </si>
  <si>
    <t>quickie saw 1@ 1350.00</t>
  </si>
  <si>
    <t>power tool batterie packs 4@300.00 ea.</t>
  </si>
  <si>
    <t>hand tools,replacement,bits,blades</t>
  </si>
  <si>
    <t>Grass Seed 6 25lb. Bags @ 50.00 ea.</t>
  </si>
  <si>
    <t>Ant Poison 1cs. @ 300.00</t>
  </si>
  <si>
    <t>PUBLIC WORKS STREETS</t>
  </si>
  <si>
    <t>Residetial  5132 @ 13.50 ea.x12</t>
  </si>
  <si>
    <t>Recycle 5132 @ 4.14 ea. X12</t>
  </si>
  <si>
    <t>Green Center 40yrd 12@ 650.00ea.</t>
  </si>
  <si>
    <t>Shop 40yrd. 12 @ 700 ea.</t>
  </si>
  <si>
    <t>City Clean Up 40yrd. 38 @603.00 ea.</t>
  </si>
  <si>
    <t>5132 @1.15ea. x 12</t>
  </si>
  <si>
    <t>SOLID WASTE</t>
  </si>
  <si>
    <t>32-BUILDING MAINTENANCE</t>
  </si>
  <si>
    <t>Jani-King City Hall Cleaning Service</t>
  </si>
  <si>
    <t>ADT City Hall Alarm System</t>
  </si>
  <si>
    <t>34-PARK &amp; RECREATION</t>
  </si>
  <si>
    <t>Irrigation on Dawn Drive</t>
  </si>
  <si>
    <t>Shade structures for bleachers @ Sunset Park</t>
  </si>
  <si>
    <t>Driveway</t>
  </si>
  <si>
    <t>PARK &amp; RECREATION</t>
  </si>
  <si>
    <t>New shower equipment for bathrooms</t>
  </si>
  <si>
    <t>Aging pump/equipment</t>
  </si>
  <si>
    <t>Regular maintenance &amp; repairs</t>
  </si>
  <si>
    <t>Furniture</t>
  </si>
  <si>
    <t>AQUATICS</t>
  </si>
  <si>
    <t>ALA</t>
  </si>
  <si>
    <t>TLA</t>
  </si>
  <si>
    <t>TMLDA</t>
  </si>
  <si>
    <t xml:space="preserve">MISCELLANEOUS </t>
  </si>
  <si>
    <t>LIBRARY DEPARTMENT</t>
  </si>
  <si>
    <t>50-CITY COUNCIL MEMBERS</t>
  </si>
  <si>
    <t>CITY COUNCIL MEMBERS</t>
  </si>
  <si>
    <t>58-GENERAL FUND INFO TECH</t>
  </si>
  <si>
    <t>GENERAL FUND INFO TECH</t>
  </si>
  <si>
    <t>86-GENERAL FUND TRANSFERS</t>
  </si>
  <si>
    <t>GENERAL FUND TRANSFERS</t>
  </si>
  <si>
    <t>11 -HOTEL FUND</t>
  </si>
  <si>
    <t>Lago Fest</t>
  </si>
  <si>
    <t>Hill Country Singers</t>
  </si>
  <si>
    <t>Twilight Concerts</t>
  </si>
  <si>
    <t>Lake Travis Music Theatre</t>
  </si>
  <si>
    <t>Lago Vista Players</t>
  </si>
  <si>
    <t>Keep Lago Vista Beautiful</t>
  </si>
  <si>
    <t>HOTEL</t>
  </si>
  <si>
    <t>TOTAL EXPENDITURES</t>
  </si>
  <si>
    <t>14 -AVIATION FUND</t>
  </si>
  <si>
    <t>AVIATION</t>
  </si>
  <si>
    <t>REVENUE OVER/(UNDER) EXPENDITURES</t>
  </si>
  <si>
    <t>15 -MUNICIPAL GOLF COURSE</t>
  </si>
  <si>
    <t>LVGC PROSHOP/SNACK BAR</t>
  </si>
  <si>
    <t>LVGC PRO SHOP/SNACK BAR</t>
  </si>
  <si>
    <t>LVGC MAINTENANCE</t>
  </si>
  <si>
    <t>Request is for equipment funded in 24-25 but never received</t>
  </si>
  <si>
    <t>30 -UTILITY FUND</t>
  </si>
  <si>
    <t>55-UTILITIES ADMINISTRATION</t>
  </si>
  <si>
    <t>UTILITIES ADMINISTRATION</t>
  </si>
  <si>
    <t>56-GENERAL FUND TRANSFER</t>
  </si>
  <si>
    <t>58-UTILITY FUND INFO TECH</t>
  </si>
  <si>
    <t>UTILITY FUND INFO TECH</t>
  </si>
  <si>
    <t>59-PUBLIC WORKS ADMIN</t>
  </si>
  <si>
    <t>LJB Q3</t>
  </si>
  <si>
    <t>ESRI-GIS</t>
  </si>
  <si>
    <t>Beehive</t>
  </si>
  <si>
    <t xml:space="preserve">ABC </t>
  </si>
  <si>
    <t>Best Cleaning</t>
  </si>
  <si>
    <t>PUBLIC WORKS ADMIN</t>
  </si>
  <si>
    <t>Texas 811</t>
  </si>
  <si>
    <t>MISCELLANEOUS</t>
  </si>
  <si>
    <t>Airgas</t>
  </si>
  <si>
    <t>Insert Valves, Stop valves, Hot taps</t>
  </si>
  <si>
    <t>Repair for small damages to properties</t>
  </si>
  <si>
    <t>Master Meter/Hydro ProSolutions</t>
  </si>
  <si>
    <t>Water Tap Machine</t>
  </si>
  <si>
    <t>Asphalt/Grade &amp; Drainage PW yard</t>
  </si>
  <si>
    <t>65-WATER PLANT ONE</t>
  </si>
  <si>
    <t>WATER PLANT ONE</t>
  </si>
  <si>
    <t>69-WATER PLANT THREE</t>
  </si>
  <si>
    <t>WATER PLANT THREE</t>
  </si>
  <si>
    <t>Manhole Replacement</t>
  </si>
  <si>
    <t>Manhole coating x3</t>
  </si>
  <si>
    <t>Sewer Tapping Machine</t>
  </si>
  <si>
    <t>Pick up Broom</t>
  </si>
  <si>
    <t>Hydraulic Hammer</t>
  </si>
  <si>
    <t>570-9740</t>
  </si>
  <si>
    <t>Building Improvements</t>
  </si>
  <si>
    <t>Vac Truck</t>
  </si>
  <si>
    <t>SEWER SERVICES</t>
  </si>
  <si>
    <t>75-SEWER PLANT</t>
  </si>
  <si>
    <t>SEWER PLANT</t>
  </si>
  <si>
    <t>77-EFFLUENT DISPOSAL</t>
  </si>
  <si>
    <t>EFFLUENT DISPOSAL</t>
  </si>
  <si>
    <t>82-BOOSTER PUMP STATIONS</t>
  </si>
  <si>
    <t>582-9750</t>
  </si>
  <si>
    <t>TALON HYDRO TANK</t>
  </si>
  <si>
    <t>BOOSTER PUMP STATIONS</t>
  </si>
  <si>
    <t>84-LIFT STATIONS</t>
  </si>
  <si>
    <t>LIFT STATIONS</t>
  </si>
  <si>
    <t>43 -PARK LAND FEE FUND</t>
  </si>
  <si>
    <t>42 -IMPACT FEE FUND</t>
  </si>
  <si>
    <t>IMPACT FEE</t>
  </si>
  <si>
    <t>60-IMPACT FEE WATER</t>
  </si>
  <si>
    <t>IMPACT FEE WATER</t>
  </si>
  <si>
    <t>70-IMPACT FEE SEWER</t>
  </si>
  <si>
    <t>IMPACT FEE SEWER</t>
  </si>
  <si>
    <t>REVENUEOVER/(UNDER) EXPENDITURES</t>
  </si>
  <si>
    <t>50 -DEBT SERVICE</t>
  </si>
  <si>
    <t>DEBT SERVICE</t>
  </si>
  <si>
    <t>580-8272</t>
  </si>
  <si>
    <t>LVGC IRRIGATION</t>
  </si>
  <si>
    <t>CAPITAL IMPROVEMENT</t>
  </si>
  <si>
    <t>Base Budget- No Fixed Assets are included</t>
  </si>
  <si>
    <t xml:space="preserve">Base Budget- Including one time purchase of Fixed Assets </t>
  </si>
  <si>
    <t>Base Budget with Assets/CIP to be funded by Revenue and Reserves</t>
  </si>
  <si>
    <t>Digital Sign</t>
  </si>
  <si>
    <t>Mower</t>
  </si>
  <si>
    <t>513-1125</t>
  </si>
  <si>
    <t>FINANCE ASSISTANT</t>
  </si>
  <si>
    <t>PT IT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</si>
</sst>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rgb="FFFF0000"/>
      <name val="Aptos Narrow"/>
      <family val="2"/>
    </font>
    <font>
      <sz val="11"/>
      <color rgb="FFA51BA8"/>
      <name val="Aptos Narrow"/>
      <family val="2"/>
    </font>
    <font>
      <b/>
      <u/>
      <sz val="11"/>
      <name val="Aptos Narrow"/>
      <family val="2"/>
    </font>
    <font>
      <u/>
      <sz val="11"/>
      <name val="Aptos Narrow"/>
      <family val="2"/>
    </font>
    <font>
      <b/>
      <sz val="16"/>
      <name val="Aptos Narrow"/>
      <family val="2"/>
    </font>
    <font>
      <b/>
      <sz val="16"/>
      <color theme="1"/>
      <name val="Aptos Narrow"/>
      <family val="2"/>
      <scheme val="minor"/>
    </font>
    <font>
      <b/>
      <u/>
      <sz val="16"/>
      <name val="Aptos Narrow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42" applyFont="1" applyProtection="1"/>
    <xf numFmtId="44" fontId="0" fillId="0" borderId="0" xfId="42" applyFont="1" applyProtection="1">
      <protection locked="0"/>
    </xf>
    <xf numFmtId="44" fontId="0" fillId="0" borderId="0" xfId="42" applyFont="1"/>
    <xf numFmtId="44" fontId="0" fillId="0" borderId="0" xfId="42" applyFont="1" applyAlignment="1">
      <alignment horizontal="right"/>
    </xf>
    <xf numFmtId="44" fontId="0" fillId="0" borderId="0" xfId="42" applyFont="1" applyAlignment="1">
      <alignment horizontal="center"/>
    </xf>
    <xf numFmtId="44" fontId="0" fillId="0" borderId="0" xfId="42" applyFont="1" applyAlignment="1" applyProtection="1">
      <alignment horizontal="right"/>
      <protection locked="0"/>
    </xf>
    <xf numFmtId="44" fontId="0" fillId="0" borderId="0" xfId="42" applyFont="1" applyAlignment="1" applyProtection="1">
      <alignment horizontal="center"/>
      <protection locked="0"/>
    </xf>
    <xf numFmtId="44" fontId="0" fillId="0" borderId="0" xfId="42" applyFont="1" applyAlignment="1">
      <alignment horizontal="left"/>
    </xf>
    <xf numFmtId="44" fontId="0" fillId="0" borderId="0" xfId="42" applyFont="1" applyFill="1"/>
    <xf numFmtId="14" fontId="0" fillId="0" borderId="0" xfId="42" applyNumberFormat="1" applyFont="1" applyAlignment="1">
      <alignment horizontal="center"/>
    </xf>
    <xf numFmtId="165" fontId="0" fillId="0" borderId="0" xfId="42" applyNumberFormat="1" applyFont="1" applyProtection="1"/>
    <xf numFmtId="165" fontId="0" fillId="0" borderId="0" xfId="42" applyNumberFormat="1" applyFont="1" applyProtection="1">
      <protection locked="0"/>
    </xf>
    <xf numFmtId="165" fontId="0" fillId="0" borderId="0" xfId="42" applyNumberFormat="1" applyFont="1"/>
    <xf numFmtId="165" fontId="0" fillId="33" borderId="0" xfId="42" applyNumberFormat="1" applyFont="1" applyFill="1" applyProtection="1">
      <protection locked="0"/>
    </xf>
    <xf numFmtId="165" fontId="0" fillId="0" borderId="0" xfId="42" applyNumberFormat="1" applyFont="1" applyFill="1" applyProtection="1">
      <protection locked="0"/>
    </xf>
    <xf numFmtId="165" fontId="0" fillId="0" borderId="0" xfId="0" applyNumberFormat="1"/>
    <xf numFmtId="165" fontId="0" fillId="0" borderId="0" xfId="0" applyNumberFormat="1" applyProtection="1">
      <protection locked="0"/>
    </xf>
    <xf numFmtId="165" fontId="0" fillId="0" borderId="0" xfId="42" applyNumberFormat="1" applyFont="1" applyFill="1"/>
    <xf numFmtId="165" fontId="0" fillId="0" borderId="0" xfId="42" applyNumberFormat="1" applyFont="1" applyAlignment="1">
      <alignment horizontal="right"/>
    </xf>
    <xf numFmtId="165" fontId="0" fillId="0" borderId="0" xfId="0" applyNumberFormat="1" applyAlignment="1">
      <alignment horizontal="center"/>
    </xf>
    <xf numFmtId="165" fontId="0" fillId="0" borderId="0" xfId="42" applyNumberFormat="1" applyFont="1" applyAlignment="1">
      <alignment horizontal="center"/>
    </xf>
    <xf numFmtId="165" fontId="0" fillId="0" borderId="0" xfId="42" applyNumberFormat="1" applyFont="1" applyAlignment="1">
      <alignment horizontal="left"/>
    </xf>
    <xf numFmtId="0" fontId="18" fillId="0" borderId="0" xfId="0" applyFont="1"/>
    <xf numFmtId="0" fontId="19" fillId="0" borderId="0" xfId="0" applyFont="1"/>
    <xf numFmtId="44" fontId="20" fillId="0" borderId="0" xfId="42" applyFont="1" applyFill="1" applyProtection="1"/>
    <xf numFmtId="14" fontId="21" fillId="0" borderId="0" xfId="0" applyNumberFormat="1" applyFont="1"/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4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164" fontId="22" fillId="0" borderId="0" xfId="42" applyNumberFormat="1" applyFont="1" applyFill="1" applyBorder="1" applyAlignment="1" applyProtection="1">
      <alignment horizontal="center"/>
    </xf>
    <xf numFmtId="14" fontId="22" fillId="0" borderId="0" xfId="42" applyNumberFormat="1" applyFont="1" applyFill="1" applyBorder="1" applyAlignment="1" applyProtection="1">
      <alignment horizontal="center"/>
    </xf>
    <xf numFmtId="44" fontId="22" fillId="0" borderId="0" xfId="42" applyFont="1" applyFill="1" applyBorder="1" applyAlignment="1" applyProtection="1">
      <alignment horizontal="center"/>
    </xf>
    <xf numFmtId="14" fontId="23" fillId="0" borderId="0" xfId="42" applyNumberFormat="1" applyFont="1" applyFill="1" applyBorder="1" applyAlignment="1" applyProtection="1">
      <alignment horizontal="center"/>
    </xf>
    <xf numFmtId="14" fontId="20" fillId="0" borderId="0" xfId="0" applyNumberFormat="1" applyFont="1" applyAlignment="1">
      <alignment horizontal="center"/>
    </xf>
    <xf numFmtId="44" fontId="19" fillId="0" borderId="0" xfId="42" applyFont="1" applyFill="1" applyProtection="1"/>
    <xf numFmtId="0" fontId="23" fillId="0" borderId="0" xfId="0" applyFont="1" applyAlignment="1">
      <alignment horizontal="center"/>
    </xf>
    <xf numFmtId="9" fontId="19" fillId="0" borderId="0" xfId="0" applyNumberFormat="1" applyFont="1"/>
    <xf numFmtId="165" fontId="19" fillId="0" borderId="0" xfId="42" applyNumberFormat="1" applyFont="1" applyFill="1" applyProtection="1"/>
    <xf numFmtId="165" fontId="19" fillId="0" borderId="0" xfId="0" applyNumberFormat="1" applyFont="1"/>
    <xf numFmtId="0" fontId="20" fillId="0" borderId="0" xfId="0" applyFont="1" applyAlignment="1">
      <alignment horizontal="center"/>
    </xf>
    <xf numFmtId="10" fontId="19" fillId="0" borderId="0" xfId="0" applyNumberFormat="1" applyFont="1" applyAlignment="1">
      <alignment horizontal="center"/>
    </xf>
    <xf numFmtId="0" fontId="23" fillId="0" borderId="0" xfId="0" applyFont="1"/>
    <xf numFmtId="165" fontId="19" fillId="0" borderId="0" xfId="42" applyNumberFormat="1" applyFont="1" applyFill="1" applyAlignment="1" applyProtection="1">
      <alignment horizontal="center"/>
    </xf>
    <xf numFmtId="165" fontId="19" fillId="34" borderId="0" xfId="42" applyNumberFormat="1" applyFont="1" applyFill="1" applyProtection="1"/>
    <xf numFmtId="165" fontId="19" fillId="0" borderId="0" xfId="42" quotePrefix="1" applyNumberFormat="1" applyFont="1" applyFill="1" applyAlignment="1" applyProtection="1">
      <alignment horizontal="center"/>
    </xf>
    <xf numFmtId="165" fontId="19" fillId="0" borderId="0" xfId="42" applyNumberFormat="1" applyFont="1" applyFill="1" applyBorder="1" applyProtection="1"/>
    <xf numFmtId="0" fontId="23" fillId="34" borderId="0" xfId="0" applyFont="1" applyFill="1" applyAlignment="1">
      <alignment horizontal="center"/>
    </xf>
    <xf numFmtId="0" fontId="19" fillId="34" borderId="0" xfId="0" applyFont="1" applyFill="1"/>
    <xf numFmtId="0" fontId="23" fillId="34" borderId="0" xfId="0" applyFont="1" applyFill="1"/>
    <xf numFmtId="44" fontId="19" fillId="0" borderId="0" xfId="0" applyNumberFormat="1" applyFont="1"/>
    <xf numFmtId="165" fontId="19" fillId="0" borderId="0" xfId="42" quotePrefix="1" applyNumberFormat="1" applyFont="1" applyFill="1" applyProtection="1"/>
    <xf numFmtId="165" fontId="19" fillId="35" borderId="0" xfId="42" applyNumberFormat="1" applyFont="1" applyFill="1" applyProtection="1"/>
    <xf numFmtId="165" fontId="19" fillId="35" borderId="0" xfId="42" applyNumberFormat="1" applyFont="1" applyFill="1" applyAlignment="1" applyProtection="1">
      <alignment horizontal="center"/>
    </xf>
    <xf numFmtId="0" fontId="19" fillId="35" borderId="0" xfId="0" applyFont="1" applyFill="1"/>
    <xf numFmtId="165" fontId="19" fillId="36" borderId="0" xfId="42" applyNumberFormat="1" applyFont="1" applyFill="1" applyProtection="1"/>
    <xf numFmtId="165" fontId="19" fillId="36" borderId="0" xfId="0" applyNumberFormat="1" applyFont="1" applyFill="1"/>
    <xf numFmtId="44" fontId="24" fillId="0" borderId="0" xfId="42" applyFont="1" applyFill="1" applyBorder="1" applyAlignment="1" applyProtection="1">
      <alignment horizontal="center"/>
    </xf>
    <xf numFmtId="0" fontId="25" fillId="0" borderId="0" xfId="0" applyFont="1"/>
    <xf numFmtId="44" fontId="26" fillId="0" borderId="0" xfId="42" applyFont="1" applyFill="1" applyBorder="1" applyAlignment="1" applyProtection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4082-09A6-43D9-A439-3712D400CB3B}">
  <dimension ref="A2:J5307"/>
  <sheetViews>
    <sheetView topLeftCell="A1060" workbookViewId="0">
      <selection activeCell="E1080" sqref="E1080"/>
    </sheetView>
  </sheetViews>
  <sheetFormatPr defaultRowHeight="15" x14ac:dyDescent="0.25"/>
  <cols>
    <col min="1" max="1" width="10.5703125" bestFit="1" customWidth="1"/>
    <col min="2" max="2" width="35" bestFit="1" customWidth="1"/>
    <col min="3" max="3" width="17.42578125" bestFit="1" customWidth="1"/>
    <col min="4" max="4" width="14.85546875" bestFit="1" customWidth="1"/>
    <col min="5" max="5" width="13.85546875" bestFit="1" customWidth="1"/>
    <col min="6" max="6" width="14" bestFit="1" customWidth="1"/>
    <col min="7" max="7" width="12.140625" bestFit="1" customWidth="1"/>
    <col min="8" max="8" width="13.140625" bestFit="1" customWidth="1"/>
    <col min="9" max="9" width="12.140625" bestFit="1" customWidth="1"/>
    <col min="10" max="10" width="13.140625" bestFit="1" customWidth="1"/>
  </cols>
  <sheetData>
    <row r="2" spans="1:10" x14ac:dyDescent="0.25">
      <c r="A2" s="1"/>
    </row>
    <row r="5" spans="1:10" x14ac:dyDescent="0.25">
      <c r="A5" t="s">
        <v>0</v>
      </c>
    </row>
    <row r="6" spans="1:10" x14ac:dyDescent="0.25">
      <c r="A6" t="s">
        <v>1</v>
      </c>
    </row>
    <row r="7" spans="1:10" x14ac:dyDescent="0.25">
      <c r="F7" t="s">
        <v>2</v>
      </c>
      <c r="G7" t="s">
        <v>3</v>
      </c>
      <c r="H7" t="s">
        <v>4</v>
      </c>
      <c r="I7" t="s">
        <v>5</v>
      </c>
      <c r="J7" t="s">
        <v>6</v>
      </c>
    </row>
    <row r="8" spans="1:10" x14ac:dyDescent="0.25"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" t="s">
        <v>12</v>
      </c>
      <c r="I8" s="3" t="s">
        <v>13</v>
      </c>
      <c r="J8" s="3" t="s">
        <v>14</v>
      </c>
    </row>
    <row r="9" spans="1:10" x14ac:dyDescent="0.25">
      <c r="C9" s="3" t="s">
        <v>15</v>
      </c>
      <c r="D9" s="3" t="s">
        <v>15</v>
      </c>
      <c r="E9" s="3" t="s">
        <v>15</v>
      </c>
      <c r="F9" s="3" t="s">
        <v>16</v>
      </c>
      <c r="G9" s="4">
        <v>45817</v>
      </c>
      <c r="H9" s="3" t="s">
        <v>17</v>
      </c>
      <c r="I9" s="3" t="s">
        <v>16</v>
      </c>
      <c r="J9" s="3" t="s">
        <v>16</v>
      </c>
    </row>
    <row r="10" spans="1:10" x14ac:dyDescent="0.25">
      <c r="A10" t="s">
        <v>18</v>
      </c>
      <c r="B10" t="s">
        <v>19</v>
      </c>
      <c r="C10" t="s">
        <v>20</v>
      </c>
      <c r="D10" t="s">
        <v>21</v>
      </c>
      <c r="E10" t="s">
        <v>22</v>
      </c>
      <c r="F10" t="s">
        <v>23</v>
      </c>
      <c r="G10" t="s">
        <v>24</v>
      </c>
      <c r="H10" t="s">
        <v>20</v>
      </c>
      <c r="I10" t="s">
        <v>24</v>
      </c>
      <c r="J10" t="s">
        <v>20</v>
      </c>
    </row>
    <row r="12" spans="1:10" x14ac:dyDescent="0.25">
      <c r="A12" t="s">
        <v>25</v>
      </c>
    </row>
    <row r="13" spans="1:10" x14ac:dyDescent="0.25">
      <c r="A13" t="s">
        <v>18</v>
      </c>
      <c r="B13" t="s">
        <v>26</v>
      </c>
    </row>
    <row r="14" spans="1:10" x14ac:dyDescent="0.25">
      <c r="A14" t="s">
        <v>27</v>
      </c>
      <c r="B14" t="s">
        <v>28</v>
      </c>
      <c r="C14" s="2">
        <v>5091424</v>
      </c>
      <c r="D14" s="2">
        <v>6125152</v>
      </c>
      <c r="E14" s="2">
        <v>7091344</v>
      </c>
      <c r="F14" s="2">
        <v>5877065</v>
      </c>
      <c r="G14" s="2">
        <v>5816928</v>
      </c>
      <c r="H14" s="2">
        <v>501416</v>
      </c>
      <c r="I14" t="s">
        <v>22</v>
      </c>
      <c r="J14" t="s">
        <v>22</v>
      </c>
    </row>
    <row r="15" spans="1:10" x14ac:dyDescent="0.25">
      <c r="A15" t="s">
        <v>29</v>
      </c>
      <c r="B15" t="s">
        <v>30</v>
      </c>
      <c r="C15" s="2">
        <v>45102</v>
      </c>
      <c r="D15" s="2">
        <v>54443</v>
      </c>
      <c r="E15">
        <v>0</v>
      </c>
      <c r="F15">
        <v>0</v>
      </c>
      <c r="G15">
        <v>0</v>
      </c>
      <c r="H15">
        <v>0</v>
      </c>
      <c r="I15" t="s">
        <v>22</v>
      </c>
      <c r="J15" t="s">
        <v>22</v>
      </c>
    </row>
    <row r="16" spans="1:10" x14ac:dyDescent="0.25">
      <c r="A16" t="s">
        <v>31</v>
      </c>
      <c r="B16" t="s">
        <v>32</v>
      </c>
      <c r="C16" s="2">
        <v>1060063</v>
      </c>
      <c r="D16" s="2">
        <v>1141045</v>
      </c>
      <c r="E16" s="2">
        <v>1185700</v>
      </c>
      <c r="F16" s="2">
        <v>1177854</v>
      </c>
      <c r="G16" s="2">
        <v>798993</v>
      </c>
      <c r="H16" s="2">
        <v>60000</v>
      </c>
      <c r="I16" t="s">
        <v>22</v>
      </c>
      <c r="J16" t="s">
        <v>22</v>
      </c>
    </row>
    <row r="17" spans="1:10" x14ac:dyDescent="0.25">
      <c r="A17" t="s">
        <v>33</v>
      </c>
      <c r="B17" t="s">
        <v>34</v>
      </c>
      <c r="C17" s="2">
        <v>2569</v>
      </c>
      <c r="D17" s="2">
        <v>47731</v>
      </c>
      <c r="E17" s="2">
        <v>57591</v>
      </c>
      <c r="F17" s="2">
        <v>43118</v>
      </c>
      <c r="G17" s="2">
        <v>29584</v>
      </c>
      <c r="H17">
        <v>0</v>
      </c>
      <c r="I17" t="s">
        <v>22</v>
      </c>
      <c r="J17" t="s">
        <v>22</v>
      </c>
    </row>
    <row r="18" spans="1:10" x14ac:dyDescent="0.25">
      <c r="A18" t="s">
        <v>35</v>
      </c>
      <c r="B18" t="s">
        <v>36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 t="s">
        <v>22</v>
      </c>
      <c r="J18" t="s">
        <v>22</v>
      </c>
    </row>
    <row r="19" spans="1:10" x14ac:dyDescent="0.25">
      <c r="A19" t="s">
        <v>37</v>
      </c>
      <c r="B19" t="s">
        <v>38</v>
      </c>
      <c r="C19" s="2">
        <v>20864</v>
      </c>
      <c r="D19" s="2">
        <v>205018</v>
      </c>
      <c r="E19" s="2">
        <v>330939</v>
      </c>
      <c r="F19" s="2">
        <v>229528</v>
      </c>
      <c r="G19" s="2">
        <v>180069</v>
      </c>
      <c r="H19">
        <v>0</v>
      </c>
      <c r="I19" t="s">
        <v>22</v>
      </c>
      <c r="J19" t="s">
        <v>22</v>
      </c>
    </row>
    <row r="20" spans="1:10" x14ac:dyDescent="0.25">
      <c r="A20" t="s">
        <v>39</v>
      </c>
      <c r="B20" t="s">
        <v>40</v>
      </c>
      <c r="C20" s="2">
        <v>7965</v>
      </c>
      <c r="D20" s="2">
        <v>50020</v>
      </c>
      <c r="E20" s="2">
        <v>58905</v>
      </c>
      <c r="F20" s="2">
        <v>44135</v>
      </c>
      <c r="G20" s="2">
        <v>30001</v>
      </c>
      <c r="H20">
        <v>0</v>
      </c>
      <c r="I20" t="s">
        <v>22</v>
      </c>
      <c r="J20" t="s">
        <v>22</v>
      </c>
    </row>
    <row r="21" spans="1:10" x14ac:dyDescent="0.25">
      <c r="A21" t="s">
        <v>41</v>
      </c>
      <c r="B21" t="s">
        <v>42</v>
      </c>
      <c r="C21">
        <v>0</v>
      </c>
      <c r="D21" s="2">
        <v>4567</v>
      </c>
      <c r="E21" s="2">
        <v>43148</v>
      </c>
      <c r="F21" s="2">
        <v>27876</v>
      </c>
      <c r="G21" s="2">
        <v>37498</v>
      </c>
      <c r="H21">
        <v>0</v>
      </c>
      <c r="I21" t="s">
        <v>22</v>
      </c>
      <c r="J21" t="s">
        <v>22</v>
      </c>
    </row>
    <row r="22" spans="1:10" x14ac:dyDescent="0.25">
      <c r="A22" t="s">
        <v>43</v>
      </c>
      <c r="B22" t="s">
        <v>44</v>
      </c>
      <c r="C22">
        <v>0</v>
      </c>
      <c r="D22" s="2">
        <v>16718</v>
      </c>
      <c r="E22" s="2">
        <v>15295</v>
      </c>
      <c r="F22" s="2">
        <v>5000</v>
      </c>
      <c r="G22" s="2">
        <v>7845</v>
      </c>
      <c r="H22">
        <v>0</v>
      </c>
      <c r="I22" t="s">
        <v>22</v>
      </c>
      <c r="J22" t="s">
        <v>22</v>
      </c>
    </row>
    <row r="23" spans="1:10" x14ac:dyDescent="0.25">
      <c r="A23" t="s">
        <v>45</v>
      </c>
      <c r="B23" t="s">
        <v>46</v>
      </c>
      <c r="C23">
        <v>0</v>
      </c>
      <c r="D23">
        <v>0</v>
      </c>
      <c r="E23" s="2">
        <v>1658</v>
      </c>
      <c r="F23" s="2">
        <v>1242</v>
      </c>
      <c r="G23">
        <v>852</v>
      </c>
      <c r="H23">
        <v>0</v>
      </c>
      <c r="I23" t="s">
        <v>22</v>
      </c>
      <c r="J23" t="s">
        <v>22</v>
      </c>
    </row>
    <row r="24" spans="1:10" x14ac:dyDescent="0.25">
      <c r="A24" t="s">
        <v>47</v>
      </c>
      <c r="B24" t="s">
        <v>48</v>
      </c>
      <c r="C24" s="2">
        <v>17073</v>
      </c>
      <c r="D24" s="2">
        <v>12699</v>
      </c>
      <c r="E24" s="2">
        <v>19914</v>
      </c>
      <c r="F24" s="2">
        <v>17319</v>
      </c>
      <c r="G24" s="2">
        <v>14707</v>
      </c>
      <c r="H24" s="2">
        <v>4500</v>
      </c>
      <c r="I24" t="s">
        <v>22</v>
      </c>
      <c r="J24" t="s">
        <v>22</v>
      </c>
    </row>
    <row r="25" spans="1:10" x14ac:dyDescent="0.25">
      <c r="A25" t="s">
        <v>49</v>
      </c>
      <c r="B25" t="s">
        <v>50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 t="s">
        <v>22</v>
      </c>
      <c r="J25" t="s">
        <v>22</v>
      </c>
    </row>
    <row r="26" spans="1:10" x14ac:dyDescent="0.25">
      <c r="A26" t="s">
        <v>51</v>
      </c>
      <c r="B26" t="s">
        <v>52</v>
      </c>
      <c r="C26" s="2">
        <v>389764</v>
      </c>
      <c r="D26" s="2">
        <v>480847</v>
      </c>
      <c r="E26" s="2">
        <v>541051</v>
      </c>
      <c r="F26" s="2">
        <v>493650</v>
      </c>
      <c r="G26" s="2">
        <v>414660</v>
      </c>
      <c r="H26" s="2">
        <v>55000</v>
      </c>
      <c r="I26" t="s">
        <v>22</v>
      </c>
      <c r="J26" t="s">
        <v>22</v>
      </c>
    </row>
    <row r="27" spans="1:10" x14ac:dyDescent="0.25">
      <c r="A27" t="s">
        <v>53</v>
      </c>
      <c r="B27" t="s">
        <v>54</v>
      </c>
      <c r="C27" s="2">
        <v>42194</v>
      </c>
      <c r="D27" s="2">
        <v>4588</v>
      </c>
      <c r="E27" s="2">
        <v>4097</v>
      </c>
      <c r="F27" s="2">
        <v>4187</v>
      </c>
      <c r="G27" s="2">
        <v>2697</v>
      </c>
      <c r="H27" s="2">
        <v>20000</v>
      </c>
      <c r="I27" t="s">
        <v>22</v>
      </c>
      <c r="J27" t="s">
        <v>22</v>
      </c>
    </row>
    <row r="28" spans="1:10" x14ac:dyDescent="0.25">
      <c r="A28" t="s">
        <v>55</v>
      </c>
      <c r="B28" t="s">
        <v>56</v>
      </c>
      <c r="C28" s="2">
        <v>108807</v>
      </c>
      <c r="D28" s="2">
        <v>107693</v>
      </c>
      <c r="E28" s="2">
        <v>92889</v>
      </c>
      <c r="F28" s="2">
        <v>124589</v>
      </c>
      <c r="G28" s="2">
        <v>86325</v>
      </c>
      <c r="H28" s="2">
        <v>7200</v>
      </c>
      <c r="I28" t="s">
        <v>22</v>
      </c>
      <c r="J28" t="s">
        <v>22</v>
      </c>
    </row>
    <row r="29" spans="1:10" x14ac:dyDescent="0.25">
      <c r="A29" t="s">
        <v>57</v>
      </c>
      <c r="B29" t="s">
        <v>58</v>
      </c>
      <c r="C29" s="2">
        <v>15215</v>
      </c>
      <c r="D29" s="2">
        <v>10264</v>
      </c>
      <c r="E29" s="2">
        <v>14045</v>
      </c>
      <c r="F29" s="2">
        <v>28090</v>
      </c>
      <c r="G29">
        <v>0</v>
      </c>
      <c r="H29">
        <v>0</v>
      </c>
      <c r="I29" t="s">
        <v>22</v>
      </c>
      <c r="J29" t="s">
        <v>22</v>
      </c>
    </row>
    <row r="30" spans="1:10" x14ac:dyDescent="0.25">
      <c r="A30" t="s">
        <v>59</v>
      </c>
      <c r="B30" t="s">
        <v>60</v>
      </c>
      <c r="C30">
        <v>866</v>
      </c>
      <c r="D30">
        <v>727</v>
      </c>
      <c r="E30">
        <v>798</v>
      </c>
      <c r="F30">
        <v>498</v>
      </c>
      <c r="G30">
        <v>0</v>
      </c>
      <c r="H30">
        <v>0</v>
      </c>
      <c r="I30" t="s">
        <v>22</v>
      </c>
      <c r="J30" t="s">
        <v>22</v>
      </c>
    </row>
    <row r="31" spans="1:10" x14ac:dyDescent="0.25">
      <c r="A31" t="s">
        <v>61</v>
      </c>
      <c r="B31" t="s">
        <v>62</v>
      </c>
      <c r="C31" s="2">
        <v>1044</v>
      </c>
      <c r="D31">
        <v>848</v>
      </c>
      <c r="E31" s="2">
        <v>1229</v>
      </c>
      <c r="F31" s="2">
        <v>1066</v>
      </c>
      <c r="G31" s="2">
        <v>2156</v>
      </c>
      <c r="H31" s="2">
        <v>55165</v>
      </c>
      <c r="I31" t="s">
        <v>22</v>
      </c>
      <c r="J31" t="s">
        <v>22</v>
      </c>
    </row>
    <row r="32" spans="1:10" x14ac:dyDescent="0.25">
      <c r="A32" t="s">
        <v>63</v>
      </c>
      <c r="B32" t="s">
        <v>64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 t="s">
        <v>22</v>
      </c>
      <c r="J32" t="s">
        <v>22</v>
      </c>
    </row>
    <row r="33" spans="1:10" x14ac:dyDescent="0.25">
      <c r="A33" t="s">
        <v>65</v>
      </c>
      <c r="B33" t="s">
        <v>46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 t="s">
        <v>22</v>
      </c>
      <c r="J33" t="s">
        <v>22</v>
      </c>
    </row>
    <row r="34" spans="1:10" x14ac:dyDescent="0.25">
      <c r="A34" t="s">
        <v>66</v>
      </c>
      <c r="B34" t="s">
        <v>67</v>
      </c>
      <c r="C34">
        <v>0</v>
      </c>
      <c r="D34">
        <v>0</v>
      </c>
      <c r="E34" s="2">
        <v>7032</v>
      </c>
      <c r="F34" s="2">
        <v>6986</v>
      </c>
      <c r="G34" s="2">
        <v>6711</v>
      </c>
      <c r="H34">
        <v>0</v>
      </c>
      <c r="I34" t="s">
        <v>22</v>
      </c>
      <c r="J34" t="s">
        <v>22</v>
      </c>
    </row>
    <row r="35" spans="1:10" x14ac:dyDescent="0.25">
      <c r="A35" t="s">
        <v>68</v>
      </c>
      <c r="B35" t="s">
        <v>69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 t="s">
        <v>22</v>
      </c>
      <c r="J35" t="s">
        <v>22</v>
      </c>
    </row>
    <row r="36" spans="1:10" x14ac:dyDescent="0.25">
      <c r="A36" t="s">
        <v>70</v>
      </c>
      <c r="B36" t="s">
        <v>71</v>
      </c>
      <c r="C36">
        <v>432</v>
      </c>
      <c r="D36">
        <v>43</v>
      </c>
      <c r="E36" s="2">
        <v>1941</v>
      </c>
      <c r="F36">
        <v>500</v>
      </c>
      <c r="G36" s="2">
        <v>1097</v>
      </c>
      <c r="H36">
        <v>500</v>
      </c>
      <c r="I36" t="s">
        <v>22</v>
      </c>
      <c r="J36" t="s">
        <v>22</v>
      </c>
    </row>
    <row r="37" spans="1:10" x14ac:dyDescent="0.25">
      <c r="A37" t="s">
        <v>72</v>
      </c>
      <c r="B37" t="s">
        <v>73</v>
      </c>
      <c r="C37">
        <v>0</v>
      </c>
      <c r="D37">
        <v>232</v>
      </c>
      <c r="E37">
        <v>0</v>
      </c>
      <c r="F37">
        <v>0</v>
      </c>
      <c r="G37">
        <v>0</v>
      </c>
      <c r="H37">
        <v>0</v>
      </c>
      <c r="I37" t="s">
        <v>22</v>
      </c>
      <c r="J37" t="s">
        <v>22</v>
      </c>
    </row>
    <row r="38" spans="1:10" x14ac:dyDescent="0.25">
      <c r="A38" t="s">
        <v>74</v>
      </c>
      <c r="B38" t="s">
        <v>75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 t="s">
        <v>22</v>
      </c>
      <c r="J38" t="s">
        <v>22</v>
      </c>
    </row>
    <row r="39" spans="1:10" x14ac:dyDescent="0.25">
      <c r="A39" t="s">
        <v>76</v>
      </c>
      <c r="B39" t="s">
        <v>77</v>
      </c>
      <c r="C39" s="2">
        <v>9328</v>
      </c>
      <c r="D39" s="2">
        <v>38777</v>
      </c>
      <c r="E39" s="2">
        <v>35655</v>
      </c>
      <c r="F39" s="2">
        <v>10000</v>
      </c>
      <c r="G39" s="2">
        <v>19052</v>
      </c>
      <c r="H39" s="2">
        <v>12000</v>
      </c>
      <c r="I39" t="s">
        <v>22</v>
      </c>
      <c r="J39" t="s">
        <v>22</v>
      </c>
    </row>
    <row r="40" spans="1:10" x14ac:dyDescent="0.25">
      <c r="A40" t="s">
        <v>78</v>
      </c>
      <c r="B40" t="s">
        <v>79</v>
      </c>
      <c r="C40">
        <v>0</v>
      </c>
      <c r="D40">
        <v>0</v>
      </c>
      <c r="E40" s="2">
        <v>12305</v>
      </c>
      <c r="F40">
        <v>0</v>
      </c>
      <c r="G40" s="2">
        <v>-253198</v>
      </c>
      <c r="H40">
        <v>0</v>
      </c>
      <c r="I40" t="s">
        <v>22</v>
      </c>
      <c r="J40" t="s">
        <v>22</v>
      </c>
    </row>
    <row r="41" spans="1:10" x14ac:dyDescent="0.25">
      <c r="A41" t="s">
        <v>80</v>
      </c>
      <c r="B41" t="s">
        <v>81</v>
      </c>
      <c r="C41">
        <v>0</v>
      </c>
      <c r="D41">
        <v>0</v>
      </c>
      <c r="E41">
        <v>0</v>
      </c>
      <c r="F41">
        <v>0</v>
      </c>
      <c r="G41">
        <v>0</v>
      </c>
      <c r="H41" s="2">
        <v>16320</v>
      </c>
      <c r="I41" t="s">
        <v>22</v>
      </c>
      <c r="J41" t="s">
        <v>22</v>
      </c>
    </row>
    <row r="42" spans="1:10" x14ac:dyDescent="0.25">
      <c r="A42" t="s">
        <v>82</v>
      </c>
      <c r="B42" t="s">
        <v>83</v>
      </c>
      <c r="C42">
        <v>0</v>
      </c>
      <c r="D42">
        <v>0</v>
      </c>
      <c r="E42">
        <v>825</v>
      </c>
      <c r="F42">
        <v>570</v>
      </c>
      <c r="G42" s="2">
        <v>1065</v>
      </c>
      <c r="H42">
        <v>0</v>
      </c>
      <c r="I42" t="s">
        <v>22</v>
      </c>
      <c r="J42" t="s">
        <v>22</v>
      </c>
    </row>
    <row r="43" spans="1:10" x14ac:dyDescent="0.25">
      <c r="A43" t="s">
        <v>84</v>
      </c>
      <c r="B43" t="s">
        <v>85</v>
      </c>
      <c r="C43">
        <v>625</v>
      </c>
      <c r="D43">
        <v>0</v>
      </c>
      <c r="E43">
        <v>0</v>
      </c>
      <c r="F43">
        <v>0</v>
      </c>
      <c r="G43">
        <v>0</v>
      </c>
      <c r="H43">
        <v>0</v>
      </c>
      <c r="I43" t="s">
        <v>22</v>
      </c>
      <c r="J43" t="s">
        <v>22</v>
      </c>
    </row>
    <row r="44" spans="1:10" x14ac:dyDescent="0.25">
      <c r="A44" t="s">
        <v>86</v>
      </c>
      <c r="B44" t="s">
        <v>87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 t="s">
        <v>22</v>
      </c>
      <c r="J44" t="s">
        <v>22</v>
      </c>
    </row>
    <row r="45" spans="1:10" x14ac:dyDescent="0.25">
      <c r="A45" t="s">
        <v>88</v>
      </c>
      <c r="B45" t="s">
        <v>89</v>
      </c>
      <c r="C45" s="2">
        <v>186092</v>
      </c>
      <c r="D45" s="2">
        <v>221776</v>
      </c>
      <c r="E45" s="2">
        <v>128034</v>
      </c>
      <c r="F45">
        <v>0</v>
      </c>
      <c r="G45">
        <v>0</v>
      </c>
      <c r="H45">
        <v>0</v>
      </c>
      <c r="I45" t="s">
        <v>22</v>
      </c>
      <c r="J45" t="s">
        <v>22</v>
      </c>
    </row>
    <row r="46" spans="1:10" x14ac:dyDescent="0.25">
      <c r="A46" t="s">
        <v>90</v>
      </c>
      <c r="B46" t="s">
        <v>91</v>
      </c>
      <c r="C46">
        <v>750</v>
      </c>
      <c r="D46">
        <v>738</v>
      </c>
      <c r="E46">
        <v>0</v>
      </c>
      <c r="F46">
        <v>0</v>
      </c>
      <c r="G46">
        <v>0</v>
      </c>
      <c r="H46">
        <v>0</v>
      </c>
      <c r="I46" t="s">
        <v>22</v>
      </c>
      <c r="J46" t="s">
        <v>22</v>
      </c>
    </row>
    <row r="47" spans="1:10" x14ac:dyDescent="0.25">
      <c r="A47" t="s">
        <v>92</v>
      </c>
      <c r="B47" t="s">
        <v>93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 t="s">
        <v>22</v>
      </c>
      <c r="J47" t="s">
        <v>22</v>
      </c>
    </row>
    <row r="48" spans="1:10" x14ac:dyDescent="0.25">
      <c r="A48" t="s">
        <v>94</v>
      </c>
      <c r="B48" t="s">
        <v>95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 t="s">
        <v>22</v>
      </c>
      <c r="J48" t="s">
        <v>22</v>
      </c>
    </row>
    <row r="49" spans="1:10" x14ac:dyDescent="0.25">
      <c r="A49" t="s">
        <v>96</v>
      </c>
      <c r="B49" t="s">
        <v>97</v>
      </c>
      <c r="C49" s="2">
        <v>1600000</v>
      </c>
      <c r="D49" s="2">
        <v>2059643</v>
      </c>
      <c r="E49" s="2">
        <v>2059643</v>
      </c>
      <c r="F49" s="2">
        <v>3643573</v>
      </c>
      <c r="G49" s="2">
        <v>1888006</v>
      </c>
      <c r="H49">
        <v>0</v>
      </c>
      <c r="I49" t="s">
        <v>22</v>
      </c>
      <c r="J49" t="s">
        <v>22</v>
      </c>
    </row>
    <row r="50" spans="1:10" x14ac:dyDescent="0.25">
      <c r="A50" t="s">
        <v>98</v>
      </c>
      <c r="B50" t="s">
        <v>99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 t="s">
        <v>22</v>
      </c>
      <c r="J50" t="s">
        <v>22</v>
      </c>
    </row>
    <row r="51" spans="1:10" x14ac:dyDescent="0.25">
      <c r="A51" t="s">
        <v>100</v>
      </c>
      <c r="B51" t="s">
        <v>101</v>
      </c>
      <c r="C51">
        <v>0</v>
      </c>
      <c r="D51">
        <v>0</v>
      </c>
      <c r="E51">
        <v>0</v>
      </c>
      <c r="F51" s="2">
        <v>422354</v>
      </c>
      <c r="G51">
        <v>0</v>
      </c>
      <c r="H51">
        <v>0</v>
      </c>
      <c r="I51" t="s">
        <v>22</v>
      </c>
      <c r="J51" t="s">
        <v>22</v>
      </c>
    </row>
    <row r="52" spans="1:10" x14ac:dyDescent="0.25">
      <c r="A52" t="s">
        <v>102</v>
      </c>
      <c r="B52" t="s">
        <v>103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 t="s">
        <v>22</v>
      </c>
      <c r="J52" t="s">
        <v>22</v>
      </c>
    </row>
    <row r="53" spans="1:10" x14ac:dyDescent="0.25">
      <c r="A53" t="s">
        <v>104</v>
      </c>
      <c r="B53" t="s">
        <v>105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 t="s">
        <v>22</v>
      </c>
      <c r="J53" t="s">
        <v>22</v>
      </c>
    </row>
    <row r="54" spans="1:10" x14ac:dyDescent="0.25">
      <c r="A54" t="s">
        <v>106</v>
      </c>
      <c r="B54" t="s">
        <v>107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 t="s">
        <v>22</v>
      </c>
      <c r="J54" t="s">
        <v>22</v>
      </c>
    </row>
    <row r="55" spans="1:10" x14ac:dyDescent="0.25">
      <c r="C55" t="s">
        <v>108</v>
      </c>
      <c r="D55" t="s">
        <v>108</v>
      </c>
      <c r="E55" t="s">
        <v>108</v>
      </c>
      <c r="F55" t="s">
        <v>108</v>
      </c>
      <c r="G55" t="s">
        <v>108</v>
      </c>
    </row>
    <row r="56" spans="1:10" x14ac:dyDescent="0.25">
      <c r="H56" t="s">
        <v>22</v>
      </c>
      <c r="I56" t="s">
        <v>22</v>
      </c>
      <c r="J56" t="s">
        <v>22</v>
      </c>
    </row>
    <row r="57" spans="1:10" x14ac:dyDescent="0.25">
      <c r="A57" t="s">
        <v>109</v>
      </c>
    </row>
    <row r="58" spans="1:10" x14ac:dyDescent="0.25">
      <c r="B58" t="s">
        <v>25</v>
      </c>
      <c r="C58" s="2">
        <v>8600177</v>
      </c>
      <c r="D58" s="2">
        <v>10583567</v>
      </c>
      <c r="E58" s="2">
        <v>11704037</v>
      </c>
      <c r="F58" s="2">
        <v>12159200</v>
      </c>
      <c r="G58" s="2">
        <v>9085048</v>
      </c>
      <c r="H58" s="2">
        <v>732101</v>
      </c>
    </row>
    <row r="59" spans="1:10" x14ac:dyDescent="0.25">
      <c r="A59" t="s">
        <v>110</v>
      </c>
    </row>
    <row r="60" spans="1:10" x14ac:dyDescent="0.25">
      <c r="A60" s="1">
        <v>43991</v>
      </c>
      <c r="B60" t="s">
        <v>111</v>
      </c>
      <c r="D60" t="s">
        <v>112</v>
      </c>
      <c r="E60" t="s">
        <v>113</v>
      </c>
      <c r="F60" t="s">
        <v>114</v>
      </c>
      <c r="J60" t="s">
        <v>115</v>
      </c>
    </row>
    <row r="61" spans="1:10" x14ac:dyDescent="0.25">
      <c r="D61" t="s">
        <v>116</v>
      </c>
      <c r="E61" t="s">
        <v>117</v>
      </c>
      <c r="F61" t="s">
        <v>118</v>
      </c>
    </row>
    <row r="62" spans="1:10" x14ac:dyDescent="0.25">
      <c r="D62" t="s">
        <v>119</v>
      </c>
      <c r="E62" t="s">
        <v>120</v>
      </c>
      <c r="F62" t="s">
        <v>121</v>
      </c>
    </row>
    <row r="63" spans="1:10" x14ac:dyDescent="0.25">
      <c r="A63" t="s">
        <v>122</v>
      </c>
      <c r="B63" t="s">
        <v>123</v>
      </c>
    </row>
    <row r="64" spans="1:10" x14ac:dyDescent="0.25">
      <c r="A64" t="s">
        <v>1</v>
      </c>
    </row>
    <row r="65" spans="1:10" x14ac:dyDescent="0.25">
      <c r="F65" t="s">
        <v>2</v>
      </c>
      <c r="G65" t="s">
        <v>3</v>
      </c>
      <c r="H65" t="s">
        <v>4</v>
      </c>
      <c r="I65" t="s">
        <v>5</v>
      </c>
      <c r="J65" t="s">
        <v>6</v>
      </c>
    </row>
    <row r="66" spans="1:10" x14ac:dyDescent="0.25">
      <c r="C66" t="s">
        <v>7</v>
      </c>
      <c r="D66" t="s">
        <v>8</v>
      </c>
      <c r="E66" t="s">
        <v>9</v>
      </c>
      <c r="F66" t="s">
        <v>10</v>
      </c>
      <c r="G66" t="s">
        <v>124</v>
      </c>
      <c r="H66" t="s">
        <v>12</v>
      </c>
      <c r="I66" t="s">
        <v>13</v>
      </c>
      <c r="J66" t="s">
        <v>14</v>
      </c>
    </row>
    <row r="67" spans="1:10" x14ac:dyDescent="0.25">
      <c r="C67" t="s">
        <v>15</v>
      </c>
      <c r="D67" t="s">
        <v>15</v>
      </c>
      <c r="E67" t="s">
        <v>15</v>
      </c>
      <c r="F67" t="s">
        <v>16</v>
      </c>
      <c r="G67" t="s">
        <v>15</v>
      </c>
      <c r="H67" t="s">
        <v>17</v>
      </c>
      <c r="I67" t="s">
        <v>16</v>
      </c>
      <c r="J67" t="s">
        <v>16</v>
      </c>
    </row>
    <row r="68" spans="1:10" x14ac:dyDescent="0.25">
      <c r="A68" t="s">
        <v>18</v>
      </c>
      <c r="B68" t="s">
        <v>19</v>
      </c>
      <c r="C68" t="s">
        <v>20</v>
      </c>
      <c r="D68" t="s">
        <v>21</v>
      </c>
      <c r="E68" t="s">
        <v>22</v>
      </c>
      <c r="F68" t="s">
        <v>23</v>
      </c>
      <c r="G68" t="s">
        <v>24</v>
      </c>
      <c r="H68" t="s">
        <v>20</v>
      </c>
      <c r="I68" t="s">
        <v>24</v>
      </c>
      <c r="J68" t="s">
        <v>20</v>
      </c>
    </row>
    <row r="70" spans="1:10" x14ac:dyDescent="0.25">
      <c r="A70" t="s">
        <v>125</v>
      </c>
      <c r="B70" t="s">
        <v>126</v>
      </c>
    </row>
    <row r="71" spans="1:10" x14ac:dyDescent="0.25">
      <c r="A71" t="s">
        <v>18</v>
      </c>
      <c r="B71" t="s">
        <v>108</v>
      </c>
    </row>
    <row r="72" spans="1:10" x14ac:dyDescent="0.25">
      <c r="A72" t="s">
        <v>127</v>
      </c>
      <c r="B72" t="s">
        <v>128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 t="s">
        <v>22</v>
      </c>
      <c r="J72" t="s">
        <v>22</v>
      </c>
    </row>
    <row r="73" spans="1:10" x14ac:dyDescent="0.25">
      <c r="A73" t="s">
        <v>129</v>
      </c>
      <c r="B73" t="s">
        <v>130</v>
      </c>
      <c r="C73">
        <v>0</v>
      </c>
      <c r="D73">
        <v>100</v>
      </c>
      <c r="E73">
        <v>600</v>
      </c>
      <c r="F73">
        <v>0</v>
      </c>
      <c r="G73">
        <v>100</v>
      </c>
      <c r="H73">
        <v>0</v>
      </c>
      <c r="I73" t="s">
        <v>22</v>
      </c>
      <c r="J73" t="s">
        <v>22</v>
      </c>
    </row>
    <row r="74" spans="1:10" x14ac:dyDescent="0.25">
      <c r="A74" t="s">
        <v>131</v>
      </c>
      <c r="B74" t="s">
        <v>132</v>
      </c>
      <c r="C74" s="2">
        <v>6500</v>
      </c>
      <c r="D74" s="2">
        <v>19600</v>
      </c>
      <c r="E74" s="2">
        <v>16150</v>
      </c>
      <c r="F74" s="2">
        <v>16000</v>
      </c>
      <c r="G74" s="2">
        <v>12000</v>
      </c>
      <c r="H74">
        <v>0</v>
      </c>
      <c r="I74" t="s">
        <v>22</v>
      </c>
      <c r="J74" t="s">
        <v>22</v>
      </c>
    </row>
    <row r="75" spans="1:10" x14ac:dyDescent="0.25">
      <c r="A75" t="s">
        <v>133</v>
      </c>
      <c r="B75" t="s">
        <v>134</v>
      </c>
      <c r="C75" s="2">
        <v>1718</v>
      </c>
      <c r="D75" s="2">
        <v>1700</v>
      </c>
      <c r="E75">
        <v>990</v>
      </c>
      <c r="F75" s="2">
        <v>1000</v>
      </c>
      <c r="G75">
        <v>0</v>
      </c>
      <c r="H75">
        <v>0</v>
      </c>
      <c r="I75" t="s">
        <v>22</v>
      </c>
      <c r="J75" t="s">
        <v>22</v>
      </c>
    </row>
    <row r="76" spans="1:10" x14ac:dyDescent="0.25">
      <c r="A76" t="s">
        <v>135</v>
      </c>
      <c r="B76" t="s">
        <v>136</v>
      </c>
      <c r="C76">
        <v>0</v>
      </c>
      <c r="D76" s="2">
        <v>1735</v>
      </c>
      <c r="E76" s="2">
        <v>1915</v>
      </c>
      <c r="F76" s="2">
        <v>1900</v>
      </c>
      <c r="G76">
        <v>0</v>
      </c>
      <c r="H76">
        <v>0</v>
      </c>
      <c r="I76" t="s">
        <v>22</v>
      </c>
      <c r="J76" t="s">
        <v>22</v>
      </c>
    </row>
    <row r="77" spans="1:10" x14ac:dyDescent="0.25">
      <c r="A77" t="s">
        <v>137</v>
      </c>
      <c r="B77" t="s">
        <v>138</v>
      </c>
      <c r="C77" s="2">
        <v>4800</v>
      </c>
      <c r="D77" s="2">
        <v>3750</v>
      </c>
      <c r="E77" s="2">
        <v>5000</v>
      </c>
      <c r="F77" s="2">
        <v>5000</v>
      </c>
      <c r="G77" s="2">
        <v>5925</v>
      </c>
      <c r="H77">
        <v>0</v>
      </c>
      <c r="I77" t="s">
        <v>22</v>
      </c>
      <c r="J77" t="s">
        <v>22</v>
      </c>
    </row>
    <row r="78" spans="1:10" x14ac:dyDescent="0.25">
      <c r="A78" t="s">
        <v>139</v>
      </c>
      <c r="B78" t="s">
        <v>140</v>
      </c>
      <c r="C78" s="2">
        <v>6529</v>
      </c>
      <c r="D78" s="2">
        <v>3172</v>
      </c>
      <c r="E78" s="2">
        <v>1100</v>
      </c>
      <c r="F78" s="2">
        <v>1000</v>
      </c>
      <c r="G78" s="2">
        <v>3225</v>
      </c>
      <c r="H78">
        <v>0</v>
      </c>
      <c r="I78" t="s">
        <v>22</v>
      </c>
      <c r="J78" t="s">
        <v>22</v>
      </c>
    </row>
    <row r="79" spans="1:10" x14ac:dyDescent="0.25">
      <c r="A79" t="s">
        <v>141</v>
      </c>
      <c r="B79" t="s">
        <v>142</v>
      </c>
      <c r="C79" s="2">
        <v>2900</v>
      </c>
      <c r="D79" s="2">
        <v>1856</v>
      </c>
      <c r="E79" s="2">
        <v>1060</v>
      </c>
      <c r="F79" s="2">
        <v>1000</v>
      </c>
      <c r="G79">
        <v>342</v>
      </c>
      <c r="H79">
        <v>0</v>
      </c>
      <c r="I79" t="s">
        <v>22</v>
      </c>
      <c r="J79" t="s">
        <v>22</v>
      </c>
    </row>
    <row r="80" spans="1:10" x14ac:dyDescent="0.25">
      <c r="A80" t="s">
        <v>143</v>
      </c>
      <c r="B80" t="s">
        <v>144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 t="s">
        <v>22</v>
      </c>
      <c r="J80" t="s">
        <v>22</v>
      </c>
    </row>
    <row r="81" spans="1:10" x14ac:dyDescent="0.25">
      <c r="A81" t="s">
        <v>145</v>
      </c>
      <c r="B81" t="s">
        <v>146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 t="s">
        <v>22</v>
      </c>
      <c r="J81" t="s">
        <v>22</v>
      </c>
    </row>
    <row r="82" spans="1:10" x14ac:dyDescent="0.25">
      <c r="A82" t="s">
        <v>147</v>
      </c>
      <c r="B82" t="s">
        <v>148</v>
      </c>
      <c r="C82">
        <v>0</v>
      </c>
      <c r="D82">
        <v>0</v>
      </c>
      <c r="E82">
        <v>0</v>
      </c>
      <c r="F82">
        <v>0</v>
      </c>
      <c r="G82">
        <v>290</v>
      </c>
      <c r="H82">
        <v>0</v>
      </c>
      <c r="I82" t="s">
        <v>22</v>
      </c>
      <c r="J82" t="s">
        <v>22</v>
      </c>
    </row>
    <row r="83" spans="1:10" x14ac:dyDescent="0.25">
      <c r="A83" t="s">
        <v>149</v>
      </c>
      <c r="B83" t="s">
        <v>150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 t="s">
        <v>22</v>
      </c>
      <c r="J83" t="s">
        <v>22</v>
      </c>
    </row>
    <row r="84" spans="1:10" x14ac:dyDescent="0.25">
      <c r="A84" t="s">
        <v>151</v>
      </c>
      <c r="B84" t="s">
        <v>77</v>
      </c>
      <c r="C84">
        <v>0</v>
      </c>
      <c r="D84">
        <v>0</v>
      </c>
      <c r="E84" s="2">
        <v>2000</v>
      </c>
      <c r="F84">
        <v>0</v>
      </c>
      <c r="G84">
        <v>0</v>
      </c>
      <c r="H84">
        <v>0</v>
      </c>
      <c r="I84" t="s">
        <v>22</v>
      </c>
      <c r="J84" t="s">
        <v>22</v>
      </c>
    </row>
    <row r="85" spans="1:10" x14ac:dyDescent="0.25">
      <c r="C85" t="s">
        <v>108</v>
      </c>
      <c r="D85" t="s">
        <v>108</v>
      </c>
      <c r="E85" t="s">
        <v>108</v>
      </c>
      <c r="F85" t="s">
        <v>108</v>
      </c>
      <c r="G85" t="s">
        <v>108</v>
      </c>
    </row>
    <row r="86" spans="1:10" x14ac:dyDescent="0.25">
      <c r="H86" t="s">
        <v>22</v>
      </c>
      <c r="I86" t="s">
        <v>22</v>
      </c>
      <c r="J86" t="s">
        <v>22</v>
      </c>
    </row>
    <row r="87" spans="1:10" x14ac:dyDescent="0.25">
      <c r="A87" t="s">
        <v>109</v>
      </c>
    </row>
    <row r="88" spans="1:10" x14ac:dyDescent="0.25">
      <c r="B88" t="s">
        <v>152</v>
      </c>
      <c r="C88" s="2">
        <v>22446</v>
      </c>
      <c r="D88" s="2">
        <v>31913</v>
      </c>
      <c r="E88" s="2">
        <v>28815</v>
      </c>
      <c r="F88" s="2">
        <v>25900</v>
      </c>
      <c r="G88" s="2">
        <v>21882</v>
      </c>
      <c r="H88">
        <v>0</v>
      </c>
    </row>
    <row r="90" spans="1:10" x14ac:dyDescent="0.25">
      <c r="A90" t="s">
        <v>153</v>
      </c>
      <c r="B90" t="s">
        <v>154</v>
      </c>
    </row>
    <row r="91" spans="1:10" x14ac:dyDescent="0.25">
      <c r="A91" t="s">
        <v>18</v>
      </c>
      <c r="B91" t="s">
        <v>23</v>
      </c>
    </row>
    <row r="92" spans="1:10" x14ac:dyDescent="0.25">
      <c r="A92" t="s">
        <v>155</v>
      </c>
      <c r="B92" t="s">
        <v>156</v>
      </c>
      <c r="C92">
        <v>0</v>
      </c>
      <c r="D92">
        <v>0</v>
      </c>
      <c r="E92" s="2">
        <v>16865</v>
      </c>
      <c r="F92" s="2">
        <v>17844</v>
      </c>
      <c r="G92" s="2">
        <v>9965</v>
      </c>
      <c r="H92">
        <v>0</v>
      </c>
      <c r="I92" t="s">
        <v>22</v>
      </c>
      <c r="J92" t="s">
        <v>22</v>
      </c>
    </row>
    <row r="93" spans="1:10" x14ac:dyDescent="0.25">
      <c r="A93" t="s">
        <v>157</v>
      </c>
      <c r="B93" t="s">
        <v>158</v>
      </c>
      <c r="C93">
        <v>450</v>
      </c>
      <c r="D93" s="2">
        <v>1550</v>
      </c>
      <c r="E93">
        <v>500</v>
      </c>
      <c r="F93">
        <v>550</v>
      </c>
      <c r="G93">
        <v>300</v>
      </c>
      <c r="H93" s="2">
        <v>9000</v>
      </c>
      <c r="I93" t="s">
        <v>22</v>
      </c>
      <c r="J93" t="s">
        <v>22</v>
      </c>
    </row>
    <row r="94" spans="1:10" x14ac:dyDescent="0.25">
      <c r="A94" t="s">
        <v>159</v>
      </c>
      <c r="B94" t="s">
        <v>160</v>
      </c>
      <c r="C94">
        <v>0</v>
      </c>
      <c r="D94" s="2">
        <v>5000</v>
      </c>
      <c r="E94">
        <v>0</v>
      </c>
      <c r="F94" s="2">
        <v>1000</v>
      </c>
      <c r="G94">
        <v>0</v>
      </c>
      <c r="H94">
        <v>0</v>
      </c>
      <c r="I94" t="s">
        <v>22</v>
      </c>
      <c r="J94" t="s">
        <v>22</v>
      </c>
    </row>
    <row r="95" spans="1:10" x14ac:dyDescent="0.25">
      <c r="A95" t="s">
        <v>161</v>
      </c>
      <c r="B95" t="s">
        <v>162</v>
      </c>
      <c r="C95" s="2">
        <v>15000</v>
      </c>
      <c r="D95" s="2">
        <v>5000</v>
      </c>
      <c r="E95">
        <v>0</v>
      </c>
      <c r="F95" s="2">
        <v>5000</v>
      </c>
      <c r="G95">
        <v>0</v>
      </c>
      <c r="H95">
        <v>0</v>
      </c>
      <c r="I95" t="s">
        <v>22</v>
      </c>
      <c r="J95" t="s">
        <v>22</v>
      </c>
    </row>
    <row r="96" spans="1:10" x14ac:dyDescent="0.25">
      <c r="A96" t="s">
        <v>163</v>
      </c>
      <c r="B96" t="s">
        <v>164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 t="s">
        <v>22</v>
      </c>
      <c r="J96" t="s">
        <v>22</v>
      </c>
    </row>
    <row r="97" spans="1:10" x14ac:dyDescent="0.25">
      <c r="A97" t="s">
        <v>165</v>
      </c>
      <c r="B97" t="s">
        <v>166</v>
      </c>
      <c r="C97">
        <v>0</v>
      </c>
      <c r="D97" s="2">
        <v>5000</v>
      </c>
      <c r="E97" s="2">
        <v>15000</v>
      </c>
      <c r="F97">
        <v>0</v>
      </c>
      <c r="G97">
        <v>0</v>
      </c>
      <c r="H97">
        <v>0</v>
      </c>
      <c r="I97" t="s">
        <v>22</v>
      </c>
      <c r="J97" t="s">
        <v>22</v>
      </c>
    </row>
    <row r="98" spans="1:10" x14ac:dyDescent="0.25">
      <c r="A98" t="s">
        <v>167</v>
      </c>
      <c r="B98" t="s">
        <v>168</v>
      </c>
      <c r="C98">
        <v>0</v>
      </c>
      <c r="D98" s="2">
        <v>5000</v>
      </c>
      <c r="E98">
        <v>0</v>
      </c>
      <c r="F98">
        <v>0</v>
      </c>
      <c r="G98">
        <v>0</v>
      </c>
      <c r="H98">
        <v>0</v>
      </c>
      <c r="I98" t="s">
        <v>22</v>
      </c>
      <c r="J98" t="s">
        <v>22</v>
      </c>
    </row>
    <row r="99" spans="1:10" x14ac:dyDescent="0.25">
      <c r="A99" t="s">
        <v>169</v>
      </c>
      <c r="B99" t="s">
        <v>77</v>
      </c>
      <c r="C99">
        <v>0</v>
      </c>
      <c r="D99">
        <v>0</v>
      </c>
      <c r="E99" s="2">
        <v>42897</v>
      </c>
      <c r="F99" s="2">
        <v>10000</v>
      </c>
      <c r="G99">
        <v>0</v>
      </c>
      <c r="H99">
        <v>0</v>
      </c>
      <c r="I99" t="s">
        <v>22</v>
      </c>
      <c r="J99" t="s">
        <v>22</v>
      </c>
    </row>
    <row r="100" spans="1:10" x14ac:dyDescent="0.25">
      <c r="A100" t="s">
        <v>170</v>
      </c>
      <c r="B100" t="s">
        <v>171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 t="s">
        <v>22</v>
      </c>
      <c r="J100" t="s">
        <v>22</v>
      </c>
    </row>
    <row r="101" spans="1:10" x14ac:dyDescent="0.25">
      <c r="A101" t="s">
        <v>172</v>
      </c>
      <c r="B101" t="s">
        <v>173</v>
      </c>
      <c r="C101" s="2">
        <v>53800</v>
      </c>
      <c r="D101" s="2">
        <v>56424</v>
      </c>
      <c r="E101" s="2">
        <v>4275</v>
      </c>
      <c r="F101" s="2">
        <v>2133</v>
      </c>
      <c r="G101">
        <v>250</v>
      </c>
      <c r="H101">
        <v>0</v>
      </c>
      <c r="I101" t="s">
        <v>22</v>
      </c>
      <c r="J101" t="s">
        <v>22</v>
      </c>
    </row>
    <row r="102" spans="1:10" x14ac:dyDescent="0.25">
      <c r="A102" t="s">
        <v>174</v>
      </c>
      <c r="B102" t="s">
        <v>175</v>
      </c>
      <c r="C102" s="2">
        <v>5993</v>
      </c>
      <c r="D102" s="2">
        <v>8503</v>
      </c>
      <c r="E102" s="2">
        <v>9000</v>
      </c>
      <c r="F102" s="2">
        <v>12000</v>
      </c>
      <c r="G102">
        <v>50</v>
      </c>
      <c r="H102">
        <v>0</v>
      </c>
      <c r="I102" t="s">
        <v>22</v>
      </c>
      <c r="J102" t="s">
        <v>22</v>
      </c>
    </row>
    <row r="103" spans="1:10" x14ac:dyDescent="0.25">
      <c r="A103" t="s">
        <v>176</v>
      </c>
      <c r="B103" t="s">
        <v>177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 t="s">
        <v>22</v>
      </c>
      <c r="J103" t="s">
        <v>22</v>
      </c>
    </row>
    <row r="104" spans="1:10" x14ac:dyDescent="0.25">
      <c r="A104" t="s">
        <v>178</v>
      </c>
      <c r="B104" t="s">
        <v>179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 t="s">
        <v>22</v>
      </c>
      <c r="J104" t="s">
        <v>22</v>
      </c>
    </row>
    <row r="105" spans="1:10" x14ac:dyDescent="0.25">
      <c r="A105" t="s">
        <v>180</v>
      </c>
      <c r="B105" t="s">
        <v>181</v>
      </c>
      <c r="C105" s="2">
        <v>1075603</v>
      </c>
      <c r="D105" s="2">
        <v>794042</v>
      </c>
      <c r="E105" s="2">
        <v>579219</v>
      </c>
      <c r="F105" s="2">
        <v>557437</v>
      </c>
      <c r="G105" s="2">
        <v>295464</v>
      </c>
      <c r="H105" s="2">
        <v>27000</v>
      </c>
      <c r="I105" t="s">
        <v>22</v>
      </c>
      <c r="J105" t="s">
        <v>22</v>
      </c>
    </row>
    <row r="106" spans="1:10" x14ac:dyDescent="0.25">
      <c r="A106" t="s">
        <v>182</v>
      </c>
      <c r="B106" t="s">
        <v>183</v>
      </c>
      <c r="C106" s="2">
        <v>301583</v>
      </c>
      <c r="D106" s="2">
        <v>171335</v>
      </c>
      <c r="E106" s="2">
        <v>95333</v>
      </c>
      <c r="F106" s="2">
        <v>113724</v>
      </c>
      <c r="G106" s="2">
        <v>22121</v>
      </c>
      <c r="H106">
        <v>0</v>
      </c>
      <c r="I106" t="s">
        <v>22</v>
      </c>
      <c r="J106" t="s">
        <v>22</v>
      </c>
    </row>
    <row r="107" spans="1:10" x14ac:dyDescent="0.25">
      <c r="A107" t="s">
        <v>184</v>
      </c>
      <c r="B107" t="s">
        <v>185</v>
      </c>
      <c r="C107" s="2">
        <v>72068</v>
      </c>
      <c r="D107" s="2">
        <v>96528</v>
      </c>
      <c r="E107" s="2">
        <v>70317</v>
      </c>
      <c r="F107" s="2">
        <v>73995</v>
      </c>
      <c r="G107" s="2">
        <v>40784</v>
      </c>
      <c r="H107">
        <v>0</v>
      </c>
      <c r="I107" t="s">
        <v>22</v>
      </c>
      <c r="J107" t="s">
        <v>22</v>
      </c>
    </row>
    <row r="108" spans="1:10" x14ac:dyDescent="0.25">
      <c r="A108" t="s">
        <v>186</v>
      </c>
      <c r="B108" t="s">
        <v>187</v>
      </c>
      <c r="C108" s="2">
        <v>51637</v>
      </c>
      <c r="D108" s="2">
        <v>30541</v>
      </c>
      <c r="E108" s="2">
        <v>31486</v>
      </c>
      <c r="F108" s="2">
        <v>28379</v>
      </c>
      <c r="G108" s="2">
        <v>21926</v>
      </c>
      <c r="H108">
        <v>0</v>
      </c>
      <c r="I108" t="s">
        <v>22</v>
      </c>
      <c r="J108" t="s">
        <v>22</v>
      </c>
    </row>
    <row r="109" spans="1:10" x14ac:dyDescent="0.25">
      <c r="A109" t="s">
        <v>188</v>
      </c>
      <c r="B109" t="s">
        <v>189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 t="s">
        <v>22</v>
      </c>
      <c r="J109" t="s">
        <v>22</v>
      </c>
    </row>
    <row r="110" spans="1:10" x14ac:dyDescent="0.25">
      <c r="A110" t="s">
        <v>190</v>
      </c>
      <c r="B110" t="s">
        <v>191</v>
      </c>
      <c r="C110" s="2">
        <v>274561</v>
      </c>
      <c r="D110" s="2">
        <v>243970</v>
      </c>
      <c r="E110" s="2">
        <v>136816</v>
      </c>
      <c r="F110" s="2">
        <v>154961</v>
      </c>
      <c r="G110" s="2">
        <v>68668</v>
      </c>
      <c r="H110">
        <v>0</v>
      </c>
      <c r="I110" t="s">
        <v>22</v>
      </c>
      <c r="J110" t="s">
        <v>22</v>
      </c>
    </row>
    <row r="111" spans="1:10" x14ac:dyDescent="0.25">
      <c r="A111" t="s">
        <v>192</v>
      </c>
      <c r="B111" t="s">
        <v>193</v>
      </c>
      <c r="C111">
        <v>0</v>
      </c>
      <c r="D111" s="2">
        <v>1000</v>
      </c>
      <c r="E111">
        <v>0</v>
      </c>
      <c r="F111">
        <v>0</v>
      </c>
      <c r="G111">
        <v>0</v>
      </c>
      <c r="H111">
        <v>0</v>
      </c>
      <c r="I111" t="s">
        <v>22</v>
      </c>
      <c r="J111" t="s">
        <v>22</v>
      </c>
    </row>
    <row r="112" spans="1:10" x14ac:dyDescent="0.25">
      <c r="A112" t="s">
        <v>194</v>
      </c>
      <c r="B112" t="s">
        <v>195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 t="s">
        <v>22</v>
      </c>
      <c r="J112" t="s">
        <v>22</v>
      </c>
    </row>
    <row r="113" spans="1:10" x14ac:dyDescent="0.25">
      <c r="A113" t="s">
        <v>196</v>
      </c>
      <c r="B113" t="s">
        <v>197</v>
      </c>
      <c r="C113" s="2">
        <v>55774</v>
      </c>
      <c r="D113" s="2">
        <v>49434</v>
      </c>
      <c r="E113" s="2">
        <v>21048</v>
      </c>
      <c r="F113" s="2">
        <v>18931</v>
      </c>
      <c r="G113" s="2">
        <v>11023</v>
      </c>
      <c r="H113" s="2">
        <v>3000</v>
      </c>
      <c r="I113" t="s">
        <v>22</v>
      </c>
      <c r="J113" t="s">
        <v>22</v>
      </c>
    </row>
    <row r="114" spans="1:10" x14ac:dyDescent="0.25">
      <c r="A114" t="s">
        <v>198</v>
      </c>
      <c r="B114" t="s">
        <v>199</v>
      </c>
      <c r="C114" s="2">
        <v>50573</v>
      </c>
      <c r="D114" s="2">
        <v>29655</v>
      </c>
      <c r="E114" s="2">
        <v>18423</v>
      </c>
      <c r="F114" s="2">
        <v>18231</v>
      </c>
      <c r="G114" s="2">
        <v>7548</v>
      </c>
      <c r="H114" s="2">
        <v>3000</v>
      </c>
      <c r="I114" t="s">
        <v>22</v>
      </c>
      <c r="J114" t="s">
        <v>22</v>
      </c>
    </row>
    <row r="115" spans="1:10" x14ac:dyDescent="0.25">
      <c r="A115" t="s">
        <v>200</v>
      </c>
      <c r="B115" t="s">
        <v>201</v>
      </c>
      <c r="C115" s="2">
        <v>52205</v>
      </c>
      <c r="D115" s="2">
        <v>30013</v>
      </c>
      <c r="E115" s="2">
        <v>20748</v>
      </c>
      <c r="F115" s="2">
        <v>21331</v>
      </c>
      <c r="G115" s="2">
        <v>8223</v>
      </c>
      <c r="H115" s="2">
        <v>3000</v>
      </c>
      <c r="I115" t="s">
        <v>22</v>
      </c>
      <c r="J115" t="s">
        <v>22</v>
      </c>
    </row>
    <row r="116" spans="1:10" x14ac:dyDescent="0.25">
      <c r="A116" t="s">
        <v>202</v>
      </c>
      <c r="B116" t="s">
        <v>203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 t="s">
        <v>22</v>
      </c>
      <c r="J116" t="s">
        <v>22</v>
      </c>
    </row>
    <row r="117" spans="1:10" x14ac:dyDescent="0.25">
      <c r="A117" t="s">
        <v>204</v>
      </c>
      <c r="B117" t="s">
        <v>205</v>
      </c>
      <c r="C117">
        <v>0</v>
      </c>
      <c r="D117">
        <v>0</v>
      </c>
      <c r="E117" s="2">
        <v>23400</v>
      </c>
      <c r="F117">
        <v>0</v>
      </c>
      <c r="G117">
        <v>0</v>
      </c>
      <c r="H117">
        <v>0</v>
      </c>
      <c r="I117" t="s">
        <v>22</v>
      </c>
      <c r="J117" t="s">
        <v>22</v>
      </c>
    </row>
    <row r="118" spans="1:10" x14ac:dyDescent="0.25">
      <c r="A118" t="s">
        <v>206</v>
      </c>
      <c r="B118" t="s">
        <v>207</v>
      </c>
      <c r="C118" s="2">
        <v>11000</v>
      </c>
      <c r="D118" s="2">
        <v>6000</v>
      </c>
      <c r="E118" s="2">
        <v>2000</v>
      </c>
      <c r="F118" s="2">
        <v>2000</v>
      </c>
      <c r="G118">
        <v>0</v>
      </c>
      <c r="H118">
        <v>0</v>
      </c>
      <c r="I118" t="s">
        <v>22</v>
      </c>
      <c r="J118" t="s">
        <v>22</v>
      </c>
    </row>
    <row r="119" spans="1:10" x14ac:dyDescent="0.25">
      <c r="A119" t="s">
        <v>208</v>
      </c>
      <c r="B119" t="s">
        <v>209</v>
      </c>
      <c r="C119" s="2">
        <v>484390</v>
      </c>
      <c r="D119" s="2">
        <v>191500</v>
      </c>
      <c r="E119" s="2">
        <v>100725</v>
      </c>
      <c r="F119" s="2">
        <v>74225</v>
      </c>
      <c r="G119" s="2">
        <v>13000</v>
      </c>
      <c r="H119">
        <v>0</v>
      </c>
      <c r="I119" t="s">
        <v>22</v>
      </c>
      <c r="J119" t="s">
        <v>22</v>
      </c>
    </row>
    <row r="120" spans="1:10" x14ac:dyDescent="0.25">
      <c r="A120" t="s">
        <v>210</v>
      </c>
      <c r="B120" t="s">
        <v>89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 t="s">
        <v>22</v>
      </c>
      <c r="J120" t="s">
        <v>22</v>
      </c>
    </row>
    <row r="121" spans="1:10" x14ac:dyDescent="0.25">
      <c r="A121" t="s">
        <v>211</v>
      </c>
      <c r="B121" t="s">
        <v>212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 t="s">
        <v>22</v>
      </c>
      <c r="J121" t="s">
        <v>22</v>
      </c>
    </row>
    <row r="122" spans="1:10" x14ac:dyDescent="0.25">
      <c r="A122" t="s">
        <v>213</v>
      </c>
      <c r="B122" t="s">
        <v>214</v>
      </c>
      <c r="C122" s="2">
        <v>45389</v>
      </c>
      <c r="D122" s="2">
        <v>22650</v>
      </c>
      <c r="E122" s="2">
        <v>18220</v>
      </c>
      <c r="F122" s="2">
        <v>19227</v>
      </c>
      <c r="G122" s="2">
        <v>2720</v>
      </c>
      <c r="H122">
        <v>0</v>
      </c>
      <c r="I122" t="s">
        <v>22</v>
      </c>
      <c r="J122" t="s">
        <v>22</v>
      </c>
    </row>
    <row r="123" spans="1:10" x14ac:dyDescent="0.25">
      <c r="A123" t="s">
        <v>215</v>
      </c>
      <c r="B123" t="s">
        <v>216</v>
      </c>
      <c r="C123" s="2">
        <v>2750</v>
      </c>
      <c r="D123">
        <v>0</v>
      </c>
      <c r="E123">
        <v>0</v>
      </c>
      <c r="F123">
        <v>0</v>
      </c>
      <c r="G123">
        <v>0</v>
      </c>
      <c r="H123">
        <v>0</v>
      </c>
      <c r="I123" t="s">
        <v>22</v>
      </c>
      <c r="J123" t="s">
        <v>22</v>
      </c>
    </row>
    <row r="124" spans="1:10" x14ac:dyDescent="0.25">
      <c r="A124" t="s">
        <v>110</v>
      </c>
    </row>
    <row r="125" spans="1:10" x14ac:dyDescent="0.25">
      <c r="A125" s="1">
        <v>43991</v>
      </c>
      <c r="B125" t="s">
        <v>111</v>
      </c>
      <c r="D125" t="s">
        <v>112</v>
      </c>
      <c r="E125" t="s">
        <v>113</v>
      </c>
      <c r="F125" t="s">
        <v>114</v>
      </c>
      <c r="J125" t="s">
        <v>217</v>
      </c>
    </row>
    <row r="126" spans="1:10" x14ac:dyDescent="0.25">
      <c r="D126" t="s">
        <v>116</v>
      </c>
      <c r="E126" t="s">
        <v>117</v>
      </c>
      <c r="F126" t="s">
        <v>118</v>
      </c>
    </row>
    <row r="127" spans="1:10" x14ac:dyDescent="0.25">
      <c r="D127" t="s">
        <v>119</v>
      </c>
      <c r="E127" t="s">
        <v>120</v>
      </c>
      <c r="F127" t="s">
        <v>121</v>
      </c>
    </row>
    <row r="128" spans="1:10" x14ac:dyDescent="0.25">
      <c r="A128" t="s">
        <v>122</v>
      </c>
      <c r="B128" t="s">
        <v>123</v>
      </c>
    </row>
    <row r="129" spans="1:10" x14ac:dyDescent="0.25">
      <c r="A129" t="s">
        <v>1</v>
      </c>
    </row>
    <row r="130" spans="1:10" x14ac:dyDescent="0.25">
      <c r="F130" t="s">
        <v>2</v>
      </c>
      <c r="G130" t="s">
        <v>3</v>
      </c>
      <c r="H130" t="s">
        <v>4</v>
      </c>
      <c r="I130" t="s">
        <v>5</v>
      </c>
      <c r="J130" t="s">
        <v>6</v>
      </c>
    </row>
    <row r="131" spans="1:10" x14ac:dyDescent="0.25">
      <c r="C131" t="s">
        <v>7</v>
      </c>
      <c r="D131" t="s">
        <v>8</v>
      </c>
      <c r="E131" t="s">
        <v>9</v>
      </c>
      <c r="F131" t="s">
        <v>10</v>
      </c>
      <c r="G131" t="s">
        <v>124</v>
      </c>
      <c r="H131" t="s">
        <v>12</v>
      </c>
      <c r="I131" t="s">
        <v>13</v>
      </c>
      <c r="J131" t="s">
        <v>14</v>
      </c>
    </row>
    <row r="132" spans="1:10" x14ac:dyDescent="0.25">
      <c r="C132" t="s">
        <v>15</v>
      </c>
      <c r="D132" t="s">
        <v>15</v>
      </c>
      <c r="E132" t="s">
        <v>15</v>
      </c>
      <c r="F132" t="s">
        <v>16</v>
      </c>
      <c r="G132" t="s">
        <v>15</v>
      </c>
      <c r="H132" t="s">
        <v>17</v>
      </c>
      <c r="I132" t="s">
        <v>16</v>
      </c>
      <c r="J132" t="s">
        <v>16</v>
      </c>
    </row>
    <row r="133" spans="1:10" x14ac:dyDescent="0.25">
      <c r="A133" t="s">
        <v>18</v>
      </c>
      <c r="B133" t="s">
        <v>19</v>
      </c>
      <c r="C133" t="s">
        <v>20</v>
      </c>
      <c r="D133" t="s">
        <v>21</v>
      </c>
      <c r="E133" t="s">
        <v>22</v>
      </c>
      <c r="F133" t="s">
        <v>23</v>
      </c>
      <c r="G133" t="s">
        <v>24</v>
      </c>
      <c r="H133" t="s">
        <v>20</v>
      </c>
      <c r="I133" t="s">
        <v>24</v>
      </c>
      <c r="J133" t="s">
        <v>20</v>
      </c>
    </row>
    <row r="134" spans="1:10" x14ac:dyDescent="0.25">
      <c r="A134" t="s">
        <v>218</v>
      </c>
      <c r="B134" t="s">
        <v>219</v>
      </c>
      <c r="C134" s="2">
        <v>42156</v>
      </c>
      <c r="D134" s="2">
        <v>145352</v>
      </c>
      <c r="E134" s="2">
        <v>184249</v>
      </c>
      <c r="F134" s="2">
        <v>134612</v>
      </c>
      <c r="G134" s="2">
        <v>75743</v>
      </c>
      <c r="H134">
        <v>0</v>
      </c>
      <c r="I134" t="s">
        <v>22</v>
      </c>
      <c r="J134" t="s">
        <v>22</v>
      </c>
    </row>
    <row r="135" spans="1:10" x14ac:dyDescent="0.25">
      <c r="A135" t="s">
        <v>220</v>
      </c>
      <c r="B135" t="s">
        <v>221</v>
      </c>
      <c r="C135">
        <v>0</v>
      </c>
      <c r="D135" s="2">
        <v>3091</v>
      </c>
      <c r="E135">
        <v>827</v>
      </c>
      <c r="F135">
        <v>0</v>
      </c>
      <c r="G135">
        <v>0</v>
      </c>
      <c r="H135">
        <v>0</v>
      </c>
      <c r="I135" t="s">
        <v>22</v>
      </c>
      <c r="J135" t="s">
        <v>22</v>
      </c>
    </row>
    <row r="136" spans="1:10" x14ac:dyDescent="0.25">
      <c r="A136" t="s">
        <v>222</v>
      </c>
      <c r="B136" t="s">
        <v>223</v>
      </c>
      <c r="C136" s="2">
        <v>19360</v>
      </c>
      <c r="D136" s="2">
        <v>19505</v>
      </c>
      <c r="E136" s="2">
        <v>17500</v>
      </c>
      <c r="F136" s="2">
        <v>18000</v>
      </c>
      <c r="G136" s="2">
        <v>11700</v>
      </c>
      <c r="H136">
        <v>0</v>
      </c>
      <c r="I136" t="s">
        <v>22</v>
      </c>
      <c r="J136" t="s">
        <v>22</v>
      </c>
    </row>
    <row r="137" spans="1:10" x14ac:dyDescent="0.25">
      <c r="A137" t="s">
        <v>224</v>
      </c>
      <c r="B137" t="s">
        <v>69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 t="s">
        <v>22</v>
      </c>
      <c r="J137" t="s">
        <v>22</v>
      </c>
    </row>
    <row r="138" spans="1:10" x14ac:dyDescent="0.25">
      <c r="C138" t="s">
        <v>108</v>
      </c>
      <c r="D138" t="s">
        <v>108</v>
      </c>
      <c r="E138" t="s">
        <v>108</v>
      </c>
      <c r="F138" t="s">
        <v>108</v>
      </c>
      <c r="G138" t="s">
        <v>108</v>
      </c>
    </row>
    <row r="139" spans="1:10" x14ac:dyDescent="0.25">
      <c r="H139" t="s">
        <v>22</v>
      </c>
      <c r="I139" t="s">
        <v>22</v>
      </c>
      <c r="J139" t="s">
        <v>22</v>
      </c>
    </row>
    <row r="140" spans="1:10" x14ac:dyDescent="0.25">
      <c r="A140" t="s">
        <v>109</v>
      </c>
    </row>
    <row r="141" spans="1:10" x14ac:dyDescent="0.25">
      <c r="B141" t="s">
        <v>225</v>
      </c>
      <c r="C141" s="2">
        <v>2614291</v>
      </c>
      <c r="D141" s="2">
        <v>1921091</v>
      </c>
      <c r="E141" s="2">
        <v>1408848</v>
      </c>
      <c r="F141" s="2">
        <v>1283581</v>
      </c>
      <c r="G141" s="2">
        <v>589486</v>
      </c>
      <c r="H141" s="2">
        <v>45000</v>
      </c>
    </row>
    <row r="143" spans="1:10" x14ac:dyDescent="0.25">
      <c r="A143" t="s">
        <v>226</v>
      </c>
      <c r="B143" t="s">
        <v>227</v>
      </c>
    </row>
    <row r="144" spans="1:10" x14ac:dyDescent="0.25">
      <c r="A144" t="s">
        <v>18</v>
      </c>
      <c r="B144" t="s">
        <v>228</v>
      </c>
    </row>
    <row r="145" spans="1:10" x14ac:dyDescent="0.25">
      <c r="A145" t="s">
        <v>229</v>
      </c>
      <c r="B145" t="s">
        <v>156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 t="s">
        <v>22</v>
      </c>
      <c r="J145" t="s">
        <v>22</v>
      </c>
    </row>
    <row r="146" spans="1:10" x14ac:dyDescent="0.25">
      <c r="A146" t="s">
        <v>230</v>
      </c>
      <c r="B146" t="s">
        <v>231</v>
      </c>
      <c r="C146" s="2">
        <v>109220</v>
      </c>
      <c r="D146" s="2">
        <v>118361</v>
      </c>
      <c r="E146" s="2">
        <v>149201</v>
      </c>
      <c r="F146" s="2">
        <v>116792</v>
      </c>
      <c r="G146" s="2">
        <v>122837</v>
      </c>
      <c r="H146" s="2">
        <v>40000</v>
      </c>
      <c r="I146" t="s">
        <v>22</v>
      </c>
      <c r="J146" t="s">
        <v>22</v>
      </c>
    </row>
    <row r="147" spans="1:10" x14ac:dyDescent="0.25">
      <c r="A147" t="s">
        <v>232</v>
      </c>
      <c r="B147" t="s">
        <v>233</v>
      </c>
      <c r="C147" s="2">
        <v>3242</v>
      </c>
      <c r="D147" s="2">
        <v>4228</v>
      </c>
      <c r="E147" s="2">
        <v>5818</v>
      </c>
      <c r="F147" s="2">
        <v>4478</v>
      </c>
      <c r="G147" s="2">
        <v>4290</v>
      </c>
      <c r="H147">
        <v>0</v>
      </c>
      <c r="I147" t="s">
        <v>22</v>
      </c>
      <c r="J147" t="s">
        <v>22</v>
      </c>
    </row>
    <row r="148" spans="1:10" x14ac:dyDescent="0.25">
      <c r="A148" t="s">
        <v>234</v>
      </c>
      <c r="B148" t="s">
        <v>235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 t="s">
        <v>22</v>
      </c>
      <c r="J148" t="s">
        <v>22</v>
      </c>
    </row>
    <row r="149" spans="1:10" x14ac:dyDescent="0.25">
      <c r="A149" t="s">
        <v>236</v>
      </c>
      <c r="B149" t="s">
        <v>237</v>
      </c>
      <c r="C149" s="2">
        <v>4914</v>
      </c>
      <c r="D149" s="2">
        <v>6489</v>
      </c>
      <c r="E149" s="2">
        <v>6969</v>
      </c>
      <c r="F149" s="2">
        <v>6969</v>
      </c>
      <c r="G149" s="2">
        <v>5162</v>
      </c>
      <c r="H149">
        <v>0</v>
      </c>
      <c r="I149" t="s">
        <v>22</v>
      </c>
      <c r="J149" t="s">
        <v>22</v>
      </c>
    </row>
    <row r="150" spans="1:10" x14ac:dyDescent="0.25">
      <c r="A150" t="s">
        <v>238</v>
      </c>
      <c r="B150" t="s">
        <v>239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 t="s">
        <v>22</v>
      </c>
      <c r="J150" t="s">
        <v>22</v>
      </c>
    </row>
    <row r="151" spans="1:10" x14ac:dyDescent="0.25">
      <c r="A151" t="s">
        <v>240</v>
      </c>
      <c r="B151" t="s">
        <v>241</v>
      </c>
      <c r="C151" s="2">
        <v>3106</v>
      </c>
      <c r="D151" s="2">
        <v>4115</v>
      </c>
      <c r="E151" s="2">
        <v>4771</v>
      </c>
      <c r="F151" s="2">
        <v>4393</v>
      </c>
      <c r="G151">
        <v>0</v>
      </c>
      <c r="H151">
        <v>0</v>
      </c>
      <c r="I151" t="s">
        <v>22</v>
      </c>
      <c r="J151" t="s">
        <v>22</v>
      </c>
    </row>
    <row r="152" spans="1:10" x14ac:dyDescent="0.25">
      <c r="A152" t="s">
        <v>242</v>
      </c>
      <c r="B152" t="s">
        <v>243</v>
      </c>
      <c r="C152" s="2">
        <v>2704</v>
      </c>
      <c r="D152" s="2">
        <v>3463</v>
      </c>
      <c r="E152" s="2">
        <v>3958</v>
      </c>
      <c r="F152" s="2">
        <v>3650</v>
      </c>
      <c r="G152">
        <v>0</v>
      </c>
      <c r="H152">
        <v>0</v>
      </c>
      <c r="I152" t="s">
        <v>22</v>
      </c>
      <c r="J152" t="s">
        <v>22</v>
      </c>
    </row>
    <row r="153" spans="1:10" x14ac:dyDescent="0.25">
      <c r="A153" t="s">
        <v>244</v>
      </c>
      <c r="B153" t="s">
        <v>245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 t="s">
        <v>22</v>
      </c>
      <c r="J153" t="s">
        <v>22</v>
      </c>
    </row>
    <row r="154" spans="1:10" x14ac:dyDescent="0.25">
      <c r="A154" t="s">
        <v>246</v>
      </c>
      <c r="B154" t="s">
        <v>247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 t="s">
        <v>22</v>
      </c>
      <c r="J154" t="s">
        <v>22</v>
      </c>
    </row>
    <row r="155" spans="1:10" x14ac:dyDescent="0.25">
      <c r="A155" t="s">
        <v>248</v>
      </c>
      <c r="B155" t="s">
        <v>249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 t="s">
        <v>22</v>
      </c>
      <c r="J155" t="s">
        <v>22</v>
      </c>
    </row>
    <row r="156" spans="1:10" x14ac:dyDescent="0.25">
      <c r="A156" t="s">
        <v>250</v>
      </c>
      <c r="B156" t="s">
        <v>251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 t="s">
        <v>22</v>
      </c>
      <c r="J156" t="s">
        <v>22</v>
      </c>
    </row>
    <row r="157" spans="1:10" x14ac:dyDescent="0.25">
      <c r="A157" t="s">
        <v>252</v>
      </c>
      <c r="B157" t="s">
        <v>253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 t="s">
        <v>22</v>
      </c>
      <c r="J157" t="s">
        <v>22</v>
      </c>
    </row>
    <row r="158" spans="1:10" x14ac:dyDescent="0.25">
      <c r="A158" t="s">
        <v>254</v>
      </c>
      <c r="B158" t="s">
        <v>255</v>
      </c>
      <c r="C158">
        <v>59</v>
      </c>
      <c r="D158">
        <v>33</v>
      </c>
      <c r="E158">
        <v>19</v>
      </c>
      <c r="F158">
        <v>19</v>
      </c>
      <c r="G158">
        <v>7</v>
      </c>
      <c r="H158">
        <v>0</v>
      </c>
      <c r="I158" t="s">
        <v>22</v>
      </c>
      <c r="J158" t="s">
        <v>22</v>
      </c>
    </row>
    <row r="159" spans="1:10" x14ac:dyDescent="0.25">
      <c r="A159" t="s">
        <v>256</v>
      </c>
      <c r="B159" t="s">
        <v>257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 t="s">
        <v>22</v>
      </c>
      <c r="J159" t="s">
        <v>22</v>
      </c>
    </row>
    <row r="160" spans="1:10" x14ac:dyDescent="0.25">
      <c r="A160" t="s">
        <v>258</v>
      </c>
      <c r="B160" t="s">
        <v>259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 t="s">
        <v>22</v>
      </c>
      <c r="J160" t="s">
        <v>22</v>
      </c>
    </row>
    <row r="161" spans="1:10" x14ac:dyDescent="0.25">
      <c r="A161" t="s">
        <v>260</v>
      </c>
      <c r="B161" t="s">
        <v>261</v>
      </c>
      <c r="C161">
        <v>0</v>
      </c>
      <c r="D161">
        <v>40</v>
      </c>
      <c r="E161">
        <v>0</v>
      </c>
      <c r="F161">
        <v>0</v>
      </c>
      <c r="G161">
        <v>0</v>
      </c>
      <c r="H161">
        <v>0</v>
      </c>
      <c r="I161" t="s">
        <v>22</v>
      </c>
      <c r="J161" t="s">
        <v>22</v>
      </c>
    </row>
    <row r="162" spans="1:10" x14ac:dyDescent="0.25">
      <c r="C162" t="s">
        <v>108</v>
      </c>
      <c r="D162" t="s">
        <v>108</v>
      </c>
      <c r="E162" t="s">
        <v>108</v>
      </c>
      <c r="F162" t="s">
        <v>108</v>
      </c>
      <c r="G162" t="s">
        <v>108</v>
      </c>
    </row>
    <row r="163" spans="1:10" x14ac:dyDescent="0.25">
      <c r="H163" t="s">
        <v>22</v>
      </c>
      <c r="I163" t="s">
        <v>22</v>
      </c>
      <c r="J163" t="s">
        <v>22</v>
      </c>
    </row>
    <row r="164" spans="1:10" x14ac:dyDescent="0.25">
      <c r="A164" t="s">
        <v>109</v>
      </c>
    </row>
    <row r="165" spans="1:10" x14ac:dyDescent="0.25">
      <c r="B165" t="s">
        <v>262</v>
      </c>
      <c r="C165" s="2">
        <v>123245</v>
      </c>
      <c r="D165" s="2">
        <v>136730</v>
      </c>
      <c r="E165" s="2">
        <v>170736</v>
      </c>
      <c r="F165" s="2">
        <v>136301</v>
      </c>
      <c r="G165" s="2">
        <v>132295</v>
      </c>
      <c r="H165" s="2">
        <v>40000</v>
      </c>
    </row>
    <row r="167" spans="1:10" x14ac:dyDescent="0.25">
      <c r="A167" t="s">
        <v>263</v>
      </c>
      <c r="B167" t="s">
        <v>264</v>
      </c>
    </row>
    <row r="168" spans="1:10" x14ac:dyDescent="0.25">
      <c r="A168" t="s">
        <v>18</v>
      </c>
      <c r="B168" t="s">
        <v>22</v>
      </c>
    </row>
    <row r="169" spans="1:10" x14ac:dyDescent="0.25">
      <c r="A169" t="s">
        <v>265</v>
      </c>
      <c r="B169" t="s">
        <v>266</v>
      </c>
      <c r="C169">
        <v>0</v>
      </c>
      <c r="D169">
        <v>0</v>
      </c>
      <c r="E169" s="2">
        <v>100303</v>
      </c>
      <c r="F169" s="2">
        <v>100000</v>
      </c>
      <c r="G169">
        <v>0</v>
      </c>
      <c r="H169">
        <v>0</v>
      </c>
      <c r="I169" t="s">
        <v>22</v>
      </c>
      <c r="J169" t="s">
        <v>22</v>
      </c>
    </row>
    <row r="170" spans="1:10" x14ac:dyDescent="0.25">
      <c r="A170" t="s">
        <v>267</v>
      </c>
      <c r="B170" t="s">
        <v>268</v>
      </c>
      <c r="C170" s="2">
        <v>8268</v>
      </c>
      <c r="D170" s="2">
        <v>8513</v>
      </c>
      <c r="E170" s="2">
        <v>8561</v>
      </c>
      <c r="F170" s="2">
        <v>8449</v>
      </c>
      <c r="G170" s="2">
        <v>5583</v>
      </c>
      <c r="H170" s="2">
        <v>2500</v>
      </c>
      <c r="I170" t="s">
        <v>22</v>
      </c>
      <c r="J170" t="s">
        <v>22</v>
      </c>
    </row>
    <row r="171" spans="1:10" x14ac:dyDescent="0.25">
      <c r="A171" t="s">
        <v>269</v>
      </c>
      <c r="B171" t="s">
        <v>270</v>
      </c>
      <c r="C171">
        <v>800</v>
      </c>
      <c r="D171" s="2">
        <v>1500</v>
      </c>
      <c r="E171">
        <v>900</v>
      </c>
      <c r="F171">
        <v>800</v>
      </c>
      <c r="G171">
        <v>400</v>
      </c>
      <c r="H171">
        <v>250</v>
      </c>
      <c r="I171" t="s">
        <v>22</v>
      </c>
      <c r="J171" t="s">
        <v>22</v>
      </c>
    </row>
    <row r="172" spans="1:10" x14ac:dyDescent="0.25">
      <c r="A172" t="s">
        <v>271</v>
      </c>
      <c r="B172" t="s">
        <v>272</v>
      </c>
      <c r="C172" s="2">
        <v>1215</v>
      </c>
      <c r="D172">
        <v>740</v>
      </c>
      <c r="E172">
        <v>745</v>
      </c>
      <c r="F172" s="2">
        <v>1000</v>
      </c>
      <c r="G172" s="2">
        <v>1190</v>
      </c>
      <c r="H172">
        <v>600</v>
      </c>
      <c r="I172" t="s">
        <v>22</v>
      </c>
      <c r="J172" t="s">
        <v>22</v>
      </c>
    </row>
    <row r="173" spans="1:10" x14ac:dyDescent="0.25">
      <c r="A173" t="s">
        <v>273</v>
      </c>
      <c r="B173" t="s">
        <v>274</v>
      </c>
      <c r="C173">
        <v>60</v>
      </c>
      <c r="D173">
        <v>30</v>
      </c>
      <c r="E173">
        <v>0</v>
      </c>
      <c r="F173">
        <v>0</v>
      </c>
      <c r="G173">
        <v>0</v>
      </c>
      <c r="H173">
        <v>450</v>
      </c>
      <c r="I173" t="s">
        <v>22</v>
      </c>
      <c r="J173" t="s">
        <v>22</v>
      </c>
    </row>
    <row r="174" spans="1:10" x14ac:dyDescent="0.25">
      <c r="A174" t="s">
        <v>275</v>
      </c>
      <c r="B174" t="s">
        <v>276</v>
      </c>
      <c r="C174">
        <v>142</v>
      </c>
      <c r="D174">
        <v>221</v>
      </c>
      <c r="E174">
        <v>0</v>
      </c>
      <c r="F174">
        <v>0</v>
      </c>
      <c r="G174">
        <v>0</v>
      </c>
      <c r="H174">
        <v>150</v>
      </c>
      <c r="I174" t="s">
        <v>22</v>
      </c>
      <c r="J174" t="s">
        <v>22</v>
      </c>
    </row>
    <row r="175" spans="1:10" x14ac:dyDescent="0.25">
      <c r="A175" t="s">
        <v>277</v>
      </c>
      <c r="B175" t="s">
        <v>77</v>
      </c>
      <c r="C175" s="2">
        <v>1230</v>
      </c>
      <c r="D175" s="2">
        <v>8034</v>
      </c>
      <c r="E175" s="2">
        <v>54942</v>
      </c>
      <c r="F175" s="2">
        <v>1500</v>
      </c>
      <c r="G175" s="2">
        <v>28069</v>
      </c>
      <c r="H175" s="2">
        <v>27000</v>
      </c>
      <c r="I175" t="s">
        <v>22</v>
      </c>
      <c r="J175" t="s">
        <v>22</v>
      </c>
    </row>
    <row r="176" spans="1:10" x14ac:dyDescent="0.25">
      <c r="A176" t="s">
        <v>278</v>
      </c>
      <c r="B176" t="s">
        <v>279</v>
      </c>
      <c r="C176" s="2">
        <v>8600</v>
      </c>
      <c r="D176" s="2">
        <v>8680</v>
      </c>
      <c r="E176" s="2">
        <v>7895</v>
      </c>
      <c r="F176" s="2">
        <v>7607</v>
      </c>
      <c r="G176" s="2">
        <v>4925</v>
      </c>
      <c r="H176">
        <v>0</v>
      </c>
      <c r="I176" t="s">
        <v>22</v>
      </c>
      <c r="J176" t="s">
        <v>22</v>
      </c>
    </row>
    <row r="177" spans="1:10" x14ac:dyDescent="0.25">
      <c r="A177" t="s">
        <v>280</v>
      </c>
      <c r="B177" t="s">
        <v>281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 t="s">
        <v>22</v>
      </c>
      <c r="J177" t="s">
        <v>22</v>
      </c>
    </row>
    <row r="178" spans="1:10" x14ac:dyDescent="0.25">
      <c r="A178" t="s">
        <v>282</v>
      </c>
      <c r="B178" t="s">
        <v>283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 t="s">
        <v>22</v>
      </c>
      <c r="J178" t="s">
        <v>22</v>
      </c>
    </row>
    <row r="179" spans="1:10" x14ac:dyDescent="0.25">
      <c r="A179" t="s">
        <v>284</v>
      </c>
      <c r="B179" t="s">
        <v>285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 t="s">
        <v>22</v>
      </c>
      <c r="J179" t="s">
        <v>22</v>
      </c>
    </row>
    <row r="180" spans="1:10" x14ac:dyDescent="0.25">
      <c r="A180" t="s">
        <v>286</v>
      </c>
      <c r="B180" t="s">
        <v>287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 t="s">
        <v>22</v>
      </c>
      <c r="J180" t="s">
        <v>22</v>
      </c>
    </row>
    <row r="181" spans="1:10" x14ac:dyDescent="0.25">
      <c r="A181" t="s">
        <v>288</v>
      </c>
      <c r="B181" t="s">
        <v>289</v>
      </c>
      <c r="C181">
        <v>0</v>
      </c>
      <c r="D181">
        <v>0</v>
      </c>
      <c r="E181">
        <v>0</v>
      </c>
      <c r="F181" s="2">
        <v>3588</v>
      </c>
      <c r="G181">
        <v>0</v>
      </c>
      <c r="H181">
        <v>0</v>
      </c>
      <c r="I181" t="s">
        <v>22</v>
      </c>
      <c r="J181" t="s">
        <v>22</v>
      </c>
    </row>
    <row r="182" spans="1:10" x14ac:dyDescent="0.25">
      <c r="A182" t="s">
        <v>290</v>
      </c>
      <c r="B182" t="s">
        <v>291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 t="s">
        <v>22</v>
      </c>
      <c r="J182" t="s">
        <v>22</v>
      </c>
    </row>
    <row r="183" spans="1:10" x14ac:dyDescent="0.25">
      <c r="A183" t="s">
        <v>292</v>
      </c>
      <c r="B183" t="s">
        <v>293</v>
      </c>
      <c r="C183" s="2">
        <v>1368</v>
      </c>
      <c r="D183">
        <v>0</v>
      </c>
      <c r="E183" s="2">
        <v>3588</v>
      </c>
      <c r="F183" s="2">
        <v>42000</v>
      </c>
      <c r="G183">
        <v>0</v>
      </c>
      <c r="H183">
        <v>0</v>
      </c>
      <c r="I183" t="s">
        <v>22</v>
      </c>
      <c r="J183" t="s">
        <v>22</v>
      </c>
    </row>
    <row r="184" spans="1:10" x14ac:dyDescent="0.25">
      <c r="C184" t="s">
        <v>108</v>
      </c>
      <c r="D184" t="s">
        <v>108</v>
      </c>
      <c r="E184" t="s">
        <v>108</v>
      </c>
      <c r="F184" t="s">
        <v>108</v>
      </c>
      <c r="G184" t="s">
        <v>108</v>
      </c>
    </row>
    <row r="185" spans="1:10" x14ac:dyDescent="0.25">
      <c r="H185" t="s">
        <v>22</v>
      </c>
      <c r="I185" t="s">
        <v>22</v>
      </c>
      <c r="J185" t="s">
        <v>22</v>
      </c>
    </row>
    <row r="186" spans="1:10" x14ac:dyDescent="0.25">
      <c r="A186" t="s">
        <v>109</v>
      </c>
    </row>
    <row r="187" spans="1:10" x14ac:dyDescent="0.25">
      <c r="B187" t="s">
        <v>294</v>
      </c>
      <c r="C187" s="2">
        <v>21684</v>
      </c>
      <c r="D187" s="2">
        <v>27718</v>
      </c>
      <c r="E187" s="2">
        <v>176933</v>
      </c>
      <c r="F187" s="2">
        <v>164943</v>
      </c>
      <c r="G187" s="2">
        <v>40167</v>
      </c>
      <c r="H187" s="2">
        <v>30950</v>
      </c>
    </row>
    <row r="189" spans="1:10" x14ac:dyDescent="0.25">
      <c r="A189" t="s">
        <v>295</v>
      </c>
      <c r="B189" t="s">
        <v>296</v>
      </c>
    </row>
    <row r="190" spans="1:10" x14ac:dyDescent="0.25">
      <c r="A190" t="s">
        <v>18</v>
      </c>
      <c r="B190" t="s">
        <v>21</v>
      </c>
    </row>
    <row r="191" spans="1:10" x14ac:dyDescent="0.25">
      <c r="A191" t="s">
        <v>297</v>
      </c>
      <c r="B191" t="s">
        <v>298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 t="s">
        <v>22</v>
      </c>
      <c r="J191" t="s">
        <v>22</v>
      </c>
    </row>
    <row r="192" spans="1:10" x14ac:dyDescent="0.25">
      <c r="A192" t="s">
        <v>299</v>
      </c>
      <c r="B192" t="s">
        <v>300</v>
      </c>
      <c r="C192" s="2">
        <v>21000</v>
      </c>
      <c r="D192">
        <v>0</v>
      </c>
      <c r="E192" s="2">
        <v>694148</v>
      </c>
      <c r="F192" s="2">
        <v>2000</v>
      </c>
      <c r="G192" s="2">
        <v>36534</v>
      </c>
      <c r="H192">
        <v>0</v>
      </c>
      <c r="I192" t="s">
        <v>22</v>
      </c>
      <c r="J192" t="s">
        <v>22</v>
      </c>
    </row>
    <row r="193" spans="1:10" x14ac:dyDescent="0.25">
      <c r="A193" t="s">
        <v>301</v>
      </c>
      <c r="B193" t="s">
        <v>302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 t="s">
        <v>22</v>
      </c>
      <c r="J193" t="s">
        <v>22</v>
      </c>
    </row>
    <row r="194" spans="1:10" x14ac:dyDescent="0.25">
      <c r="A194" t="s">
        <v>303</v>
      </c>
      <c r="B194" t="s">
        <v>304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 t="s">
        <v>22</v>
      </c>
      <c r="J194" t="s">
        <v>22</v>
      </c>
    </row>
    <row r="195" spans="1:10" x14ac:dyDescent="0.25">
      <c r="A195" t="s">
        <v>305</v>
      </c>
      <c r="B195" t="s">
        <v>306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 t="s">
        <v>22</v>
      </c>
      <c r="J195" t="s">
        <v>22</v>
      </c>
    </row>
    <row r="196" spans="1:10" x14ac:dyDescent="0.25">
      <c r="A196" t="s">
        <v>110</v>
      </c>
    </row>
    <row r="197" spans="1:10" x14ac:dyDescent="0.25">
      <c r="A197" s="1">
        <v>43991</v>
      </c>
      <c r="B197" t="s">
        <v>111</v>
      </c>
      <c r="D197" t="s">
        <v>112</v>
      </c>
      <c r="E197" t="s">
        <v>113</v>
      </c>
      <c r="F197" t="s">
        <v>114</v>
      </c>
      <c r="J197" t="s">
        <v>307</v>
      </c>
    </row>
    <row r="198" spans="1:10" x14ac:dyDescent="0.25">
      <c r="D198" t="s">
        <v>116</v>
      </c>
      <c r="E198" t="s">
        <v>117</v>
      </c>
      <c r="F198" t="s">
        <v>118</v>
      </c>
    </row>
    <row r="199" spans="1:10" x14ac:dyDescent="0.25">
      <c r="D199" t="s">
        <v>119</v>
      </c>
      <c r="E199" t="s">
        <v>120</v>
      </c>
      <c r="F199" t="s">
        <v>121</v>
      </c>
    </row>
    <row r="200" spans="1:10" x14ac:dyDescent="0.25">
      <c r="A200" t="s">
        <v>122</v>
      </c>
      <c r="B200" t="s">
        <v>123</v>
      </c>
    </row>
    <row r="201" spans="1:10" x14ac:dyDescent="0.25">
      <c r="A201" t="s">
        <v>1</v>
      </c>
    </row>
    <row r="202" spans="1:10" x14ac:dyDescent="0.25">
      <c r="F202" t="s">
        <v>2</v>
      </c>
      <c r="G202" t="s">
        <v>3</v>
      </c>
      <c r="H202" t="s">
        <v>4</v>
      </c>
      <c r="I202" t="s">
        <v>5</v>
      </c>
      <c r="J202" t="s">
        <v>6</v>
      </c>
    </row>
    <row r="203" spans="1:10" x14ac:dyDescent="0.25">
      <c r="C203" t="s">
        <v>7</v>
      </c>
      <c r="D203" t="s">
        <v>8</v>
      </c>
      <c r="E203" t="s">
        <v>9</v>
      </c>
      <c r="F203" t="s">
        <v>10</v>
      </c>
      <c r="G203" t="s">
        <v>124</v>
      </c>
      <c r="H203" t="s">
        <v>12</v>
      </c>
      <c r="I203" t="s">
        <v>13</v>
      </c>
      <c r="J203" t="s">
        <v>14</v>
      </c>
    </row>
    <row r="204" spans="1:10" x14ac:dyDescent="0.25">
      <c r="C204" t="s">
        <v>15</v>
      </c>
      <c r="D204" t="s">
        <v>15</v>
      </c>
      <c r="E204" t="s">
        <v>15</v>
      </c>
      <c r="F204" t="s">
        <v>16</v>
      </c>
      <c r="G204" t="s">
        <v>15</v>
      </c>
      <c r="H204" t="s">
        <v>17</v>
      </c>
      <c r="I204" t="s">
        <v>16</v>
      </c>
      <c r="J204" t="s">
        <v>16</v>
      </c>
    </row>
    <row r="205" spans="1:10" x14ac:dyDescent="0.25">
      <c r="A205" t="s">
        <v>18</v>
      </c>
      <c r="B205" t="s">
        <v>19</v>
      </c>
      <c r="C205" t="s">
        <v>20</v>
      </c>
      <c r="D205" t="s">
        <v>21</v>
      </c>
      <c r="E205" t="s">
        <v>22</v>
      </c>
      <c r="F205" t="s">
        <v>23</v>
      </c>
      <c r="G205" t="s">
        <v>24</v>
      </c>
      <c r="H205" t="s">
        <v>20</v>
      </c>
      <c r="I205" t="s">
        <v>24</v>
      </c>
      <c r="J205" t="s">
        <v>20</v>
      </c>
    </row>
    <row r="206" spans="1:10" x14ac:dyDescent="0.25">
      <c r="A206" t="s">
        <v>308</v>
      </c>
      <c r="B206" t="s">
        <v>77</v>
      </c>
      <c r="C206" s="2">
        <v>1061</v>
      </c>
      <c r="D206" s="2">
        <v>22825</v>
      </c>
      <c r="E206" s="2">
        <v>5324</v>
      </c>
      <c r="F206">
        <v>0</v>
      </c>
      <c r="G206">
        <v>0</v>
      </c>
      <c r="H206" s="2">
        <v>2000</v>
      </c>
      <c r="I206" t="s">
        <v>22</v>
      </c>
      <c r="J206" t="s">
        <v>22</v>
      </c>
    </row>
    <row r="207" spans="1:10" x14ac:dyDescent="0.25">
      <c r="A207" t="s">
        <v>309</v>
      </c>
      <c r="B207" t="s">
        <v>310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 t="s">
        <v>22</v>
      </c>
      <c r="J207" t="s">
        <v>22</v>
      </c>
    </row>
    <row r="208" spans="1:10" x14ac:dyDescent="0.25">
      <c r="A208" t="s">
        <v>311</v>
      </c>
      <c r="B208" t="s">
        <v>312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 t="s">
        <v>22</v>
      </c>
      <c r="J208" t="s">
        <v>22</v>
      </c>
    </row>
    <row r="209" spans="1:10" x14ac:dyDescent="0.25">
      <c r="A209" t="s">
        <v>313</v>
      </c>
      <c r="B209" t="s">
        <v>314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 t="s">
        <v>22</v>
      </c>
      <c r="J209" t="s">
        <v>22</v>
      </c>
    </row>
    <row r="210" spans="1:10" x14ac:dyDescent="0.25">
      <c r="A210" t="s">
        <v>315</v>
      </c>
      <c r="B210" t="s">
        <v>316</v>
      </c>
      <c r="C210">
        <v>0</v>
      </c>
      <c r="D210" s="2">
        <v>462788</v>
      </c>
      <c r="E210" s="2">
        <v>924018</v>
      </c>
      <c r="F210" s="2">
        <v>475000</v>
      </c>
      <c r="G210" s="2">
        <v>424508</v>
      </c>
      <c r="H210">
        <v>0</v>
      </c>
      <c r="I210" t="s">
        <v>22</v>
      </c>
      <c r="J210" t="s">
        <v>22</v>
      </c>
    </row>
    <row r="211" spans="1:10" x14ac:dyDescent="0.25">
      <c r="C211" t="s">
        <v>108</v>
      </c>
      <c r="D211" t="s">
        <v>108</v>
      </c>
      <c r="E211" t="s">
        <v>108</v>
      </c>
      <c r="F211" t="s">
        <v>108</v>
      </c>
      <c r="G211" t="s">
        <v>108</v>
      </c>
    </row>
    <row r="212" spans="1:10" x14ac:dyDescent="0.25">
      <c r="H212" t="s">
        <v>22</v>
      </c>
      <c r="I212" t="s">
        <v>22</v>
      </c>
      <c r="J212" t="s">
        <v>22</v>
      </c>
    </row>
    <row r="213" spans="1:10" x14ac:dyDescent="0.25">
      <c r="A213" t="s">
        <v>109</v>
      </c>
    </row>
    <row r="214" spans="1:10" x14ac:dyDescent="0.25">
      <c r="B214" t="s">
        <v>317</v>
      </c>
      <c r="C214" s="2">
        <v>22061</v>
      </c>
      <c r="D214" s="2">
        <v>485613</v>
      </c>
      <c r="E214" s="2">
        <v>1623491</v>
      </c>
      <c r="F214" s="2">
        <v>477000</v>
      </c>
      <c r="G214" s="2">
        <v>461042</v>
      </c>
      <c r="H214" s="2">
        <v>2000</v>
      </c>
    </row>
    <row r="216" spans="1:10" x14ac:dyDescent="0.25">
      <c r="A216" t="s">
        <v>318</v>
      </c>
      <c r="B216" t="s">
        <v>319</v>
      </c>
    </row>
    <row r="217" spans="1:10" x14ac:dyDescent="0.25">
      <c r="A217" t="s">
        <v>18</v>
      </c>
      <c r="B217" t="s">
        <v>320</v>
      </c>
    </row>
    <row r="218" spans="1:10" x14ac:dyDescent="0.25">
      <c r="A218" t="s">
        <v>321</v>
      </c>
      <c r="B218" t="s">
        <v>322</v>
      </c>
      <c r="C218" s="2">
        <v>1179326</v>
      </c>
      <c r="D218" s="2">
        <v>1259041</v>
      </c>
      <c r="E218" s="2">
        <v>1321220</v>
      </c>
      <c r="F218" s="2">
        <v>1384740</v>
      </c>
      <c r="G218" s="2">
        <v>905974</v>
      </c>
      <c r="H218" s="2">
        <v>145000</v>
      </c>
      <c r="I218" t="s">
        <v>22</v>
      </c>
      <c r="J218" t="s">
        <v>22</v>
      </c>
    </row>
    <row r="219" spans="1:10" x14ac:dyDescent="0.25">
      <c r="A219" t="s">
        <v>323</v>
      </c>
      <c r="B219" t="s">
        <v>324</v>
      </c>
      <c r="C219" s="2">
        <v>63512</v>
      </c>
      <c r="D219" s="2">
        <v>66274</v>
      </c>
      <c r="E219" s="2">
        <v>69749</v>
      </c>
      <c r="F219" s="2">
        <v>69375</v>
      </c>
      <c r="G219" s="2">
        <v>46639</v>
      </c>
      <c r="H219">
        <v>0</v>
      </c>
      <c r="I219" t="s">
        <v>22</v>
      </c>
      <c r="J219" t="s">
        <v>22</v>
      </c>
    </row>
    <row r="220" spans="1:10" x14ac:dyDescent="0.25">
      <c r="A220" t="s">
        <v>325</v>
      </c>
      <c r="B220" t="s">
        <v>326</v>
      </c>
      <c r="C220" s="2">
        <v>4488</v>
      </c>
      <c r="D220" s="2">
        <v>5151</v>
      </c>
      <c r="E220" s="2">
        <v>4552</v>
      </c>
      <c r="F220" s="2">
        <v>4502</v>
      </c>
      <c r="G220">
        <v>150</v>
      </c>
      <c r="H220">
        <v>0</v>
      </c>
      <c r="I220" t="s">
        <v>22</v>
      </c>
      <c r="J220" t="s">
        <v>22</v>
      </c>
    </row>
    <row r="221" spans="1:10" x14ac:dyDescent="0.25">
      <c r="A221" t="s">
        <v>327</v>
      </c>
      <c r="B221" t="s">
        <v>328</v>
      </c>
      <c r="C221">
        <v>0</v>
      </c>
      <c r="D221">
        <v>0</v>
      </c>
      <c r="E221">
        <v>0</v>
      </c>
      <c r="F221">
        <v>0</v>
      </c>
      <c r="G221" s="2">
        <v>1067</v>
      </c>
      <c r="H221">
        <v>0</v>
      </c>
      <c r="I221" t="s">
        <v>22</v>
      </c>
      <c r="J221" t="s">
        <v>22</v>
      </c>
    </row>
    <row r="222" spans="1:10" x14ac:dyDescent="0.25">
      <c r="C222" t="s">
        <v>108</v>
      </c>
      <c r="D222" t="s">
        <v>108</v>
      </c>
      <c r="E222" t="s">
        <v>108</v>
      </c>
      <c r="F222" t="s">
        <v>108</v>
      </c>
      <c r="G222" t="s">
        <v>108</v>
      </c>
    </row>
    <row r="223" spans="1:10" x14ac:dyDescent="0.25">
      <c r="H223" t="s">
        <v>22</v>
      </c>
      <c r="I223" t="s">
        <v>22</v>
      </c>
      <c r="J223" t="s">
        <v>22</v>
      </c>
    </row>
    <row r="224" spans="1:10" x14ac:dyDescent="0.25">
      <c r="A224" t="s">
        <v>109</v>
      </c>
    </row>
    <row r="225" spans="1:10" x14ac:dyDescent="0.25">
      <c r="B225" t="s">
        <v>329</v>
      </c>
      <c r="C225" s="2">
        <v>1247326</v>
      </c>
      <c r="D225" s="2">
        <v>1330466</v>
      </c>
      <c r="E225" s="2">
        <v>1395521</v>
      </c>
      <c r="F225" s="2">
        <v>1458617</v>
      </c>
      <c r="G225" s="2">
        <v>953830</v>
      </c>
      <c r="H225" s="2">
        <v>145000</v>
      </c>
    </row>
    <row r="227" spans="1:10" x14ac:dyDescent="0.25">
      <c r="A227" t="s">
        <v>330</v>
      </c>
      <c r="B227" t="s">
        <v>331</v>
      </c>
    </row>
    <row r="228" spans="1:10" x14ac:dyDescent="0.25">
      <c r="A228" t="s">
        <v>18</v>
      </c>
      <c r="B228" t="s">
        <v>24</v>
      </c>
    </row>
    <row r="229" spans="1:10" x14ac:dyDescent="0.25">
      <c r="A229" t="s">
        <v>332</v>
      </c>
      <c r="B229" t="s">
        <v>333</v>
      </c>
      <c r="C229" s="2">
        <v>1506</v>
      </c>
      <c r="D229">
        <v>560</v>
      </c>
      <c r="E229">
        <v>0</v>
      </c>
      <c r="F229">
        <v>0</v>
      </c>
      <c r="G229">
        <v>0</v>
      </c>
      <c r="H229">
        <v>0</v>
      </c>
      <c r="I229" t="s">
        <v>22</v>
      </c>
      <c r="J229" t="s">
        <v>22</v>
      </c>
    </row>
    <row r="230" spans="1:10" x14ac:dyDescent="0.25">
      <c r="A230" t="s">
        <v>334</v>
      </c>
      <c r="B230" t="s">
        <v>335</v>
      </c>
      <c r="C230">
        <v>140</v>
      </c>
      <c r="D230">
        <v>0</v>
      </c>
      <c r="E230" s="2">
        <v>19136</v>
      </c>
      <c r="F230">
        <v>0</v>
      </c>
      <c r="G230">
        <v>0</v>
      </c>
      <c r="H230">
        <v>0</v>
      </c>
      <c r="I230" t="s">
        <v>22</v>
      </c>
      <c r="J230" t="s">
        <v>22</v>
      </c>
    </row>
    <row r="231" spans="1:10" x14ac:dyDescent="0.25">
      <c r="C231" t="s">
        <v>108</v>
      </c>
      <c r="D231" t="s">
        <v>108</v>
      </c>
      <c r="E231" t="s">
        <v>108</v>
      </c>
      <c r="F231" t="s">
        <v>108</v>
      </c>
      <c r="G231" t="s">
        <v>108</v>
      </c>
    </row>
    <row r="232" spans="1:10" x14ac:dyDescent="0.25">
      <c r="H232" t="s">
        <v>22</v>
      </c>
      <c r="I232" t="s">
        <v>22</v>
      </c>
      <c r="J232" t="s">
        <v>22</v>
      </c>
    </row>
    <row r="233" spans="1:10" x14ac:dyDescent="0.25">
      <c r="A233" t="s">
        <v>109</v>
      </c>
    </row>
    <row r="234" spans="1:10" x14ac:dyDescent="0.25">
      <c r="B234" t="s">
        <v>336</v>
      </c>
      <c r="C234" s="2">
        <v>1646</v>
      </c>
      <c r="D234">
        <v>560</v>
      </c>
      <c r="E234" s="2">
        <v>19136</v>
      </c>
      <c r="F234">
        <v>0</v>
      </c>
      <c r="G234">
        <v>0</v>
      </c>
      <c r="H234">
        <v>0</v>
      </c>
    </row>
    <row r="236" spans="1:10" x14ac:dyDescent="0.25">
      <c r="A236" t="s">
        <v>337</v>
      </c>
      <c r="B236" t="s">
        <v>338</v>
      </c>
    </row>
    <row r="237" spans="1:10" x14ac:dyDescent="0.25">
      <c r="A237" t="s">
        <v>18</v>
      </c>
      <c r="B237" t="s">
        <v>339</v>
      </c>
    </row>
    <row r="238" spans="1:10" x14ac:dyDescent="0.25">
      <c r="A238" t="s">
        <v>340</v>
      </c>
      <c r="B238" t="s">
        <v>341</v>
      </c>
      <c r="C238" s="2">
        <v>-1788</v>
      </c>
      <c r="D238">
        <v>-930</v>
      </c>
      <c r="E238">
        <v>0</v>
      </c>
      <c r="F238">
        <v>0</v>
      </c>
      <c r="G238">
        <v>0</v>
      </c>
      <c r="H238">
        <v>0</v>
      </c>
      <c r="I238" t="s">
        <v>22</v>
      </c>
      <c r="J238" t="s">
        <v>22</v>
      </c>
    </row>
    <row r="239" spans="1:10" x14ac:dyDescent="0.25">
      <c r="A239" t="s">
        <v>342</v>
      </c>
      <c r="B239" t="s">
        <v>343</v>
      </c>
      <c r="C239" s="2">
        <v>16086</v>
      </c>
      <c r="D239" s="2">
        <v>11993</v>
      </c>
      <c r="E239">
        <v>370</v>
      </c>
      <c r="F239" s="2">
        <v>11103</v>
      </c>
      <c r="G239" s="2">
        <v>3956</v>
      </c>
      <c r="H239">
        <v>0</v>
      </c>
      <c r="I239" t="s">
        <v>22</v>
      </c>
      <c r="J239" t="s">
        <v>22</v>
      </c>
    </row>
    <row r="240" spans="1:10" x14ac:dyDescent="0.25">
      <c r="A240" t="s">
        <v>344</v>
      </c>
      <c r="B240" t="s">
        <v>345</v>
      </c>
      <c r="C240">
        <v>0</v>
      </c>
      <c r="D240" s="2">
        <v>4895</v>
      </c>
      <c r="E240">
        <v>0</v>
      </c>
      <c r="F240">
        <v>0</v>
      </c>
      <c r="G240">
        <v>0</v>
      </c>
      <c r="H240">
        <v>0</v>
      </c>
      <c r="I240" t="s">
        <v>22</v>
      </c>
      <c r="J240" t="s">
        <v>22</v>
      </c>
    </row>
    <row r="241" spans="1:10" x14ac:dyDescent="0.25">
      <c r="A241" t="s">
        <v>346</v>
      </c>
      <c r="B241" t="s">
        <v>347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 t="s">
        <v>22</v>
      </c>
      <c r="J241" t="s">
        <v>22</v>
      </c>
    </row>
    <row r="242" spans="1:10" x14ac:dyDescent="0.25">
      <c r="A242" t="s">
        <v>348</v>
      </c>
      <c r="B242" t="s">
        <v>89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 t="s">
        <v>22</v>
      </c>
      <c r="J242" t="s">
        <v>22</v>
      </c>
    </row>
    <row r="243" spans="1:10" x14ac:dyDescent="0.25">
      <c r="A243" t="s">
        <v>349</v>
      </c>
      <c r="B243" t="s">
        <v>350</v>
      </c>
      <c r="C243">
        <v>30</v>
      </c>
      <c r="D243">
        <v>30</v>
      </c>
      <c r="E243">
        <v>0</v>
      </c>
      <c r="F243">
        <v>0</v>
      </c>
      <c r="G243">
        <v>0</v>
      </c>
      <c r="H243">
        <v>0</v>
      </c>
      <c r="I243" t="s">
        <v>22</v>
      </c>
      <c r="J243" t="s">
        <v>22</v>
      </c>
    </row>
    <row r="244" spans="1:10" x14ac:dyDescent="0.25">
      <c r="C244" t="s">
        <v>108</v>
      </c>
      <c r="D244" t="s">
        <v>108</v>
      </c>
      <c r="E244" t="s">
        <v>108</v>
      </c>
      <c r="F244" t="s">
        <v>108</v>
      </c>
      <c r="G244" t="s">
        <v>108</v>
      </c>
    </row>
    <row r="245" spans="1:10" x14ac:dyDescent="0.25">
      <c r="H245" t="s">
        <v>22</v>
      </c>
      <c r="I245" t="s">
        <v>22</v>
      </c>
      <c r="J245" t="s">
        <v>22</v>
      </c>
    </row>
    <row r="246" spans="1:10" x14ac:dyDescent="0.25">
      <c r="A246" t="s">
        <v>109</v>
      </c>
    </row>
    <row r="247" spans="1:10" x14ac:dyDescent="0.25">
      <c r="B247" t="s">
        <v>351</v>
      </c>
      <c r="C247" s="2">
        <v>14328</v>
      </c>
      <c r="D247" s="2">
        <v>15989</v>
      </c>
      <c r="E247">
        <v>370</v>
      </c>
      <c r="F247" s="2">
        <v>11103</v>
      </c>
      <c r="G247" s="2">
        <v>3956</v>
      </c>
      <c r="H247">
        <v>0</v>
      </c>
    </row>
    <row r="249" spans="1:10" x14ac:dyDescent="0.25">
      <c r="A249" t="s">
        <v>352</v>
      </c>
      <c r="B249" t="s">
        <v>353</v>
      </c>
    </row>
    <row r="250" spans="1:10" x14ac:dyDescent="0.25">
      <c r="A250" t="s">
        <v>18</v>
      </c>
      <c r="B250" t="s">
        <v>20</v>
      </c>
    </row>
    <row r="251" spans="1:10" x14ac:dyDescent="0.25">
      <c r="A251" t="s">
        <v>354</v>
      </c>
      <c r="B251" t="s">
        <v>62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 t="s">
        <v>22</v>
      </c>
      <c r="J251" t="s">
        <v>22</v>
      </c>
    </row>
    <row r="252" spans="1:10" x14ac:dyDescent="0.25">
      <c r="A252" t="s">
        <v>355</v>
      </c>
      <c r="B252" t="s">
        <v>356</v>
      </c>
      <c r="C252">
        <v>0</v>
      </c>
      <c r="D252">
        <v>0</v>
      </c>
      <c r="E252">
        <v>50</v>
      </c>
      <c r="F252">
        <v>0</v>
      </c>
      <c r="G252">
        <v>0</v>
      </c>
      <c r="H252">
        <v>0</v>
      </c>
      <c r="I252" t="s">
        <v>22</v>
      </c>
      <c r="J252" t="s">
        <v>22</v>
      </c>
    </row>
    <row r="253" spans="1:10" x14ac:dyDescent="0.25">
      <c r="A253" t="s">
        <v>357</v>
      </c>
      <c r="B253" t="s">
        <v>358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 t="s">
        <v>22</v>
      </c>
      <c r="J253" t="s">
        <v>22</v>
      </c>
    </row>
    <row r="254" spans="1:10" x14ac:dyDescent="0.25">
      <c r="A254" t="s">
        <v>359</v>
      </c>
      <c r="B254" t="s">
        <v>360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 t="s">
        <v>22</v>
      </c>
      <c r="J254" t="s">
        <v>22</v>
      </c>
    </row>
    <row r="255" spans="1:10" x14ac:dyDescent="0.25">
      <c r="A255" t="s">
        <v>361</v>
      </c>
      <c r="B255" t="s">
        <v>362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 t="s">
        <v>22</v>
      </c>
      <c r="J255" t="s">
        <v>22</v>
      </c>
    </row>
    <row r="256" spans="1:10" x14ac:dyDescent="0.25">
      <c r="A256" t="s">
        <v>363</v>
      </c>
      <c r="B256" t="s">
        <v>364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 t="s">
        <v>22</v>
      </c>
      <c r="J256" t="s">
        <v>22</v>
      </c>
    </row>
    <row r="257" spans="1:10" x14ac:dyDescent="0.25">
      <c r="A257" t="s">
        <v>365</v>
      </c>
      <c r="B257" t="s">
        <v>366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 t="s">
        <v>22</v>
      </c>
      <c r="J257" t="s">
        <v>22</v>
      </c>
    </row>
    <row r="258" spans="1:10" x14ac:dyDescent="0.25">
      <c r="A258" t="s">
        <v>367</v>
      </c>
      <c r="B258" t="s">
        <v>368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 t="s">
        <v>22</v>
      </c>
      <c r="J258" t="s">
        <v>22</v>
      </c>
    </row>
    <row r="259" spans="1:10" x14ac:dyDescent="0.25">
      <c r="A259" t="s">
        <v>369</v>
      </c>
      <c r="B259" t="s">
        <v>370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 t="s">
        <v>22</v>
      </c>
      <c r="J259" t="s">
        <v>22</v>
      </c>
    </row>
    <row r="260" spans="1:10" x14ac:dyDescent="0.25">
      <c r="C260" t="s">
        <v>108</v>
      </c>
      <c r="D260" t="s">
        <v>108</v>
      </c>
      <c r="E260" t="s">
        <v>108</v>
      </c>
      <c r="F260" t="s">
        <v>108</v>
      </c>
      <c r="G260" t="s">
        <v>108</v>
      </c>
    </row>
    <row r="261" spans="1:10" x14ac:dyDescent="0.25">
      <c r="H261" t="s">
        <v>22</v>
      </c>
      <c r="I261" t="s">
        <v>22</v>
      </c>
      <c r="J261" t="s">
        <v>22</v>
      </c>
    </row>
    <row r="262" spans="1:10" x14ac:dyDescent="0.25">
      <c r="A262" t="s">
        <v>109</v>
      </c>
    </row>
    <row r="263" spans="1:10" x14ac:dyDescent="0.25">
      <c r="B263" t="s">
        <v>371</v>
      </c>
      <c r="C263">
        <v>0</v>
      </c>
      <c r="D263">
        <v>0</v>
      </c>
      <c r="E263">
        <v>50</v>
      </c>
      <c r="F263">
        <v>0</v>
      </c>
      <c r="G263">
        <v>0</v>
      </c>
      <c r="H263">
        <v>0</v>
      </c>
    </row>
    <row r="265" spans="1:10" x14ac:dyDescent="0.25">
      <c r="A265" t="s">
        <v>372</v>
      </c>
      <c r="B265" t="s">
        <v>373</v>
      </c>
    </row>
    <row r="266" spans="1:10" x14ac:dyDescent="0.25">
      <c r="A266" t="s">
        <v>18</v>
      </c>
      <c r="B266" t="s">
        <v>24</v>
      </c>
    </row>
    <row r="267" spans="1:10" x14ac:dyDescent="0.25">
      <c r="A267" t="s">
        <v>374</v>
      </c>
      <c r="B267" t="s">
        <v>375</v>
      </c>
      <c r="C267" s="2">
        <v>5637</v>
      </c>
      <c r="D267" s="2">
        <v>5979</v>
      </c>
      <c r="E267" s="2">
        <v>6642</v>
      </c>
      <c r="F267" s="2">
        <v>6287</v>
      </c>
      <c r="G267" s="2">
        <v>4688</v>
      </c>
      <c r="H267">
        <v>0</v>
      </c>
      <c r="I267" t="s">
        <v>22</v>
      </c>
      <c r="J267" t="s">
        <v>22</v>
      </c>
    </row>
    <row r="268" spans="1:10" x14ac:dyDescent="0.25">
      <c r="A268" t="s">
        <v>376</v>
      </c>
      <c r="B268" t="s">
        <v>377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 t="s">
        <v>22</v>
      </c>
      <c r="J268" t="s">
        <v>22</v>
      </c>
    </row>
    <row r="269" spans="1:10" x14ac:dyDescent="0.25">
      <c r="A269" t="s">
        <v>378</v>
      </c>
      <c r="B269" t="s">
        <v>379</v>
      </c>
      <c r="C269" s="2">
        <v>1197</v>
      </c>
      <c r="D269" s="2">
        <v>1000</v>
      </c>
      <c r="E269" s="2">
        <v>1692</v>
      </c>
      <c r="F269">
        <v>500</v>
      </c>
      <c r="G269">
        <v>0</v>
      </c>
      <c r="H269">
        <v>0</v>
      </c>
      <c r="I269" t="s">
        <v>22</v>
      </c>
      <c r="J269" t="s">
        <v>22</v>
      </c>
    </row>
    <row r="270" spans="1:10" x14ac:dyDescent="0.25">
      <c r="A270" t="s">
        <v>380</v>
      </c>
      <c r="B270" t="s">
        <v>381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 t="s">
        <v>22</v>
      </c>
      <c r="J270" t="s">
        <v>22</v>
      </c>
    </row>
    <row r="271" spans="1:10" x14ac:dyDescent="0.25">
      <c r="C271" t="s">
        <v>108</v>
      </c>
      <c r="D271" t="s">
        <v>108</v>
      </c>
      <c r="E271" t="s">
        <v>108</v>
      </c>
      <c r="F271" t="s">
        <v>108</v>
      </c>
      <c r="G271" t="s">
        <v>108</v>
      </c>
    </row>
    <row r="272" spans="1:10" x14ac:dyDescent="0.25">
      <c r="H272" t="s">
        <v>22</v>
      </c>
      <c r="I272" t="s">
        <v>22</v>
      </c>
      <c r="J272" t="s">
        <v>22</v>
      </c>
    </row>
    <row r="273" spans="1:10" x14ac:dyDescent="0.25">
      <c r="A273" t="s">
        <v>109</v>
      </c>
    </row>
    <row r="274" spans="1:10" x14ac:dyDescent="0.25">
      <c r="B274" t="s">
        <v>382</v>
      </c>
      <c r="C274" s="2">
        <v>6834</v>
      </c>
      <c r="D274" s="2">
        <v>6979</v>
      </c>
      <c r="E274" s="2">
        <v>8334</v>
      </c>
      <c r="F274" s="2">
        <v>6787</v>
      </c>
      <c r="G274" s="2">
        <v>4688</v>
      </c>
      <c r="H274">
        <v>0</v>
      </c>
    </row>
    <row r="275" spans="1:10" x14ac:dyDescent="0.25">
      <c r="A275" t="s">
        <v>18</v>
      </c>
      <c r="B275" t="s">
        <v>19</v>
      </c>
      <c r="C275" t="s">
        <v>20</v>
      </c>
      <c r="D275" t="s">
        <v>21</v>
      </c>
      <c r="E275" t="s">
        <v>26</v>
      </c>
    </row>
    <row r="276" spans="1:10" x14ac:dyDescent="0.25">
      <c r="E276" t="s">
        <v>339</v>
      </c>
      <c r="F276" t="s">
        <v>23</v>
      </c>
      <c r="G276" t="s">
        <v>24</v>
      </c>
      <c r="H276" t="s">
        <v>20</v>
      </c>
      <c r="I276" t="s">
        <v>24</v>
      </c>
      <c r="J276" t="s">
        <v>20</v>
      </c>
    </row>
    <row r="278" spans="1:10" x14ac:dyDescent="0.25">
      <c r="A278" t="s">
        <v>383</v>
      </c>
      <c r="B278" t="s">
        <v>384</v>
      </c>
      <c r="C278" s="2">
        <v>12674039</v>
      </c>
      <c r="D278" s="2">
        <v>14540626</v>
      </c>
      <c r="E278" s="2">
        <v>16536272</v>
      </c>
      <c r="F278" s="2">
        <v>15723432</v>
      </c>
      <c r="G278" s="2">
        <v>11292393</v>
      </c>
      <c r="H278" s="2">
        <v>995051</v>
      </c>
    </row>
    <row r="279" spans="1:10" x14ac:dyDescent="0.25">
      <c r="A279" t="s">
        <v>110</v>
      </c>
    </row>
    <row r="280" spans="1:10" x14ac:dyDescent="0.25">
      <c r="A280" s="1">
        <v>43991</v>
      </c>
      <c r="B280" t="s">
        <v>111</v>
      </c>
      <c r="D280" t="s">
        <v>112</v>
      </c>
      <c r="E280" t="s">
        <v>113</v>
      </c>
      <c r="F280" t="s">
        <v>114</v>
      </c>
      <c r="J280" t="s">
        <v>385</v>
      </c>
    </row>
    <row r="281" spans="1:10" x14ac:dyDescent="0.25">
      <c r="D281" t="s">
        <v>116</v>
      </c>
      <c r="E281" t="s">
        <v>117</v>
      </c>
      <c r="F281" t="s">
        <v>118</v>
      </c>
    </row>
    <row r="282" spans="1:10" x14ac:dyDescent="0.25">
      <c r="D282" t="s">
        <v>119</v>
      </c>
      <c r="E282" t="s">
        <v>120</v>
      </c>
      <c r="F282" t="s">
        <v>121</v>
      </c>
    </row>
    <row r="283" spans="1:10" x14ac:dyDescent="0.25">
      <c r="A283" t="s">
        <v>0</v>
      </c>
    </row>
    <row r="284" spans="1:10" x14ac:dyDescent="0.25">
      <c r="A284" t="s">
        <v>386</v>
      </c>
    </row>
    <row r="285" spans="1:10" x14ac:dyDescent="0.25">
      <c r="F285" t="s">
        <v>2</v>
      </c>
      <c r="G285" t="s">
        <v>3</v>
      </c>
      <c r="H285" t="s">
        <v>4</v>
      </c>
      <c r="I285" t="s">
        <v>5</v>
      </c>
      <c r="J285" t="s">
        <v>6</v>
      </c>
    </row>
    <row r="286" spans="1:10" x14ac:dyDescent="0.25">
      <c r="C286" t="s">
        <v>7</v>
      </c>
      <c r="D286" t="s">
        <v>8</v>
      </c>
      <c r="E286" t="s">
        <v>9</v>
      </c>
      <c r="F286" t="s">
        <v>10</v>
      </c>
      <c r="G286" t="s">
        <v>124</v>
      </c>
      <c r="H286" t="s">
        <v>12</v>
      </c>
      <c r="I286" t="s">
        <v>13</v>
      </c>
      <c r="J286" t="s">
        <v>14</v>
      </c>
    </row>
    <row r="287" spans="1:10" x14ac:dyDescent="0.25">
      <c r="C287" t="s">
        <v>15</v>
      </c>
      <c r="D287" t="s">
        <v>15</v>
      </c>
      <c r="E287" t="s">
        <v>15</v>
      </c>
      <c r="F287" t="s">
        <v>16</v>
      </c>
      <c r="G287" t="s">
        <v>15</v>
      </c>
      <c r="H287" t="s">
        <v>17</v>
      </c>
      <c r="I287" t="s">
        <v>16</v>
      </c>
      <c r="J287" t="s">
        <v>16</v>
      </c>
    </row>
    <row r="288" spans="1:10" x14ac:dyDescent="0.25">
      <c r="A288" t="s">
        <v>18</v>
      </c>
      <c r="B288" t="s">
        <v>19</v>
      </c>
      <c r="C288" t="s">
        <v>20</v>
      </c>
      <c r="D288" t="s">
        <v>21</v>
      </c>
      <c r="E288" t="s">
        <v>22</v>
      </c>
      <c r="F288" t="s">
        <v>23</v>
      </c>
      <c r="G288" t="s">
        <v>24</v>
      </c>
      <c r="H288" t="s">
        <v>20</v>
      </c>
      <c r="I288" t="s">
        <v>24</v>
      </c>
      <c r="J288" t="s">
        <v>20</v>
      </c>
    </row>
    <row r="291" spans="1:10" x14ac:dyDescent="0.25">
      <c r="A291" t="s">
        <v>387</v>
      </c>
      <c r="B291" t="s">
        <v>388</v>
      </c>
    </row>
    <row r="292" spans="1:10" x14ac:dyDescent="0.25">
      <c r="A292" t="s">
        <v>389</v>
      </c>
      <c r="B292" t="s">
        <v>390</v>
      </c>
    </row>
    <row r="294" spans="1:10" x14ac:dyDescent="0.25">
      <c r="A294" t="s">
        <v>391</v>
      </c>
      <c r="B294" t="s">
        <v>392</v>
      </c>
    </row>
    <row r="295" spans="1:10" x14ac:dyDescent="0.25">
      <c r="A295" t="s">
        <v>18</v>
      </c>
      <c r="B295" t="s">
        <v>228</v>
      </c>
    </row>
    <row r="296" spans="1:10" x14ac:dyDescent="0.25">
      <c r="A296" t="s">
        <v>393</v>
      </c>
      <c r="B296" t="s">
        <v>394</v>
      </c>
      <c r="C296" s="2">
        <v>1560</v>
      </c>
      <c r="D296" s="2">
        <v>3548</v>
      </c>
      <c r="E296">
        <v>0</v>
      </c>
      <c r="F296">
        <v>0</v>
      </c>
      <c r="G296">
        <v>0</v>
      </c>
      <c r="H296">
        <v>0</v>
      </c>
      <c r="I296" t="s">
        <v>22</v>
      </c>
      <c r="J296" t="s">
        <v>22</v>
      </c>
    </row>
    <row r="297" spans="1:10" x14ac:dyDescent="0.25">
      <c r="A297" t="s">
        <v>395</v>
      </c>
      <c r="B297" t="s">
        <v>396</v>
      </c>
      <c r="C297">
        <v>9</v>
      </c>
      <c r="D297">
        <v>18</v>
      </c>
      <c r="E297">
        <v>234</v>
      </c>
      <c r="F297">
        <v>504</v>
      </c>
      <c r="G297">
        <v>47</v>
      </c>
      <c r="H297">
        <v>72</v>
      </c>
      <c r="I297" t="s">
        <v>22</v>
      </c>
      <c r="J297" t="s">
        <v>22</v>
      </c>
    </row>
    <row r="298" spans="1:10" x14ac:dyDescent="0.25">
      <c r="A298" t="s">
        <v>397</v>
      </c>
      <c r="B298" t="s">
        <v>398</v>
      </c>
      <c r="C298" s="2">
        <v>13170</v>
      </c>
      <c r="D298" s="2">
        <v>16918</v>
      </c>
      <c r="E298" s="2">
        <v>17344</v>
      </c>
      <c r="F298" s="2">
        <v>12247</v>
      </c>
      <c r="G298" s="2">
        <v>8130</v>
      </c>
      <c r="H298" s="2">
        <v>5340</v>
      </c>
      <c r="I298" t="s">
        <v>22</v>
      </c>
      <c r="J298" t="s">
        <v>22</v>
      </c>
    </row>
    <row r="299" spans="1:10" x14ac:dyDescent="0.25">
      <c r="A299" t="s">
        <v>399</v>
      </c>
      <c r="B299" t="s">
        <v>400</v>
      </c>
      <c r="C299" s="2">
        <v>14015</v>
      </c>
      <c r="D299" s="2">
        <v>20224</v>
      </c>
      <c r="E299" s="2">
        <v>22189</v>
      </c>
      <c r="F299" s="2">
        <v>20714</v>
      </c>
      <c r="G299" s="2">
        <v>15491</v>
      </c>
      <c r="H299" s="2">
        <v>2905</v>
      </c>
      <c r="I299" t="s">
        <v>22</v>
      </c>
      <c r="J299" t="s">
        <v>22</v>
      </c>
    </row>
    <row r="300" spans="1:10" x14ac:dyDescent="0.25">
      <c r="A300" t="s">
        <v>401</v>
      </c>
      <c r="B300" t="s">
        <v>402</v>
      </c>
      <c r="C300" s="2">
        <v>10485</v>
      </c>
      <c r="D300" s="2">
        <v>20639</v>
      </c>
      <c r="E300" s="2">
        <v>21970</v>
      </c>
      <c r="F300" s="2">
        <v>15352</v>
      </c>
      <c r="G300" s="2">
        <v>8705</v>
      </c>
      <c r="H300" s="2">
        <v>3780</v>
      </c>
      <c r="I300" t="s">
        <v>22</v>
      </c>
      <c r="J300" t="s">
        <v>22</v>
      </c>
    </row>
    <row r="301" spans="1:10" x14ac:dyDescent="0.25">
      <c r="A301" t="s">
        <v>403</v>
      </c>
      <c r="B301" t="s">
        <v>404</v>
      </c>
      <c r="C301">
        <v>664</v>
      </c>
      <c r="D301" s="2">
        <v>1421</v>
      </c>
      <c r="E301" s="2">
        <v>1318</v>
      </c>
      <c r="F301">
        <v>927</v>
      </c>
      <c r="G301">
        <v>514</v>
      </c>
      <c r="H301">
        <v>0</v>
      </c>
      <c r="I301" t="s">
        <v>22</v>
      </c>
      <c r="J301" t="s">
        <v>22</v>
      </c>
    </row>
    <row r="302" spans="1:10" x14ac:dyDescent="0.25">
      <c r="A302" t="s">
        <v>405</v>
      </c>
      <c r="B302" t="s">
        <v>406</v>
      </c>
      <c r="C302">
        <v>450</v>
      </c>
      <c r="D302" s="2">
        <v>3775</v>
      </c>
      <c r="E302">
        <v>666</v>
      </c>
      <c r="F302">
        <v>733</v>
      </c>
      <c r="G302" s="2">
        <v>1258</v>
      </c>
      <c r="H302">
        <v>450</v>
      </c>
      <c r="I302" t="s">
        <v>22</v>
      </c>
      <c r="J302" t="s">
        <v>22</v>
      </c>
    </row>
    <row r="303" spans="1:10" x14ac:dyDescent="0.25">
      <c r="A303" t="s">
        <v>407</v>
      </c>
      <c r="B303" t="s">
        <v>408</v>
      </c>
      <c r="C303" s="2">
        <v>165000</v>
      </c>
      <c r="D303" s="2">
        <v>180865</v>
      </c>
      <c r="E303" s="2">
        <v>181500</v>
      </c>
      <c r="F303" s="2">
        <v>190575</v>
      </c>
      <c r="G303" s="2">
        <v>242026</v>
      </c>
      <c r="H303" s="2">
        <v>43380</v>
      </c>
      <c r="I303" t="s">
        <v>22</v>
      </c>
      <c r="J303" t="s">
        <v>22</v>
      </c>
    </row>
    <row r="304" spans="1:10" x14ac:dyDescent="0.25">
      <c r="A304" t="s">
        <v>409</v>
      </c>
      <c r="B304" t="s">
        <v>410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 t="s">
        <v>22</v>
      </c>
      <c r="J304" t="s">
        <v>22</v>
      </c>
    </row>
    <row r="305" spans="1:10" x14ac:dyDescent="0.25">
      <c r="A305" t="s">
        <v>411</v>
      </c>
      <c r="B305" t="s">
        <v>412</v>
      </c>
      <c r="C305">
        <v>0</v>
      </c>
      <c r="D305">
        <v>0</v>
      </c>
      <c r="E305">
        <v>0</v>
      </c>
      <c r="F305">
        <v>0</v>
      </c>
      <c r="G305">
        <v>0</v>
      </c>
      <c r="H305" s="2">
        <v>26321</v>
      </c>
      <c r="I305" t="s">
        <v>22</v>
      </c>
      <c r="J305" t="s">
        <v>22</v>
      </c>
    </row>
    <row r="306" spans="1:10" x14ac:dyDescent="0.25">
      <c r="A306" t="s">
        <v>413</v>
      </c>
      <c r="B306" t="s">
        <v>414</v>
      </c>
      <c r="C306">
        <v>0</v>
      </c>
      <c r="D306" s="2">
        <v>55541</v>
      </c>
      <c r="E306" s="2">
        <v>60000</v>
      </c>
      <c r="F306" s="2">
        <v>26250</v>
      </c>
      <c r="G306" s="2">
        <v>36115</v>
      </c>
      <c r="H306">
        <v>0</v>
      </c>
      <c r="I306" t="s">
        <v>22</v>
      </c>
      <c r="J306" t="s">
        <v>22</v>
      </c>
    </row>
    <row r="307" spans="1:10" x14ac:dyDescent="0.25">
      <c r="A307" t="s">
        <v>415</v>
      </c>
      <c r="B307" t="s">
        <v>416</v>
      </c>
      <c r="C307">
        <v>0</v>
      </c>
      <c r="D307">
        <v>0</v>
      </c>
      <c r="E307">
        <v>0</v>
      </c>
      <c r="F307">
        <v>0</v>
      </c>
      <c r="G307" s="2">
        <v>3629</v>
      </c>
      <c r="H307">
        <v>0</v>
      </c>
      <c r="I307" t="s">
        <v>22</v>
      </c>
      <c r="J307" t="s">
        <v>22</v>
      </c>
    </row>
    <row r="308" spans="1:10" x14ac:dyDescent="0.25">
      <c r="A308" t="s">
        <v>417</v>
      </c>
      <c r="B308" t="s">
        <v>418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 t="s">
        <v>22</v>
      </c>
      <c r="J308" t="s">
        <v>22</v>
      </c>
    </row>
    <row r="309" spans="1:10" x14ac:dyDescent="0.25">
      <c r="A309" t="s">
        <v>419</v>
      </c>
      <c r="B309" t="s">
        <v>420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 t="s">
        <v>22</v>
      </c>
      <c r="J309" t="s">
        <v>22</v>
      </c>
    </row>
    <row r="310" spans="1:10" x14ac:dyDescent="0.25">
      <c r="A310" t="s">
        <v>421</v>
      </c>
      <c r="B310" t="s">
        <v>422</v>
      </c>
      <c r="C310" s="2">
        <v>7200</v>
      </c>
      <c r="D310" s="2">
        <v>7200</v>
      </c>
      <c r="E310" s="2">
        <v>7200</v>
      </c>
      <c r="F310" s="2">
        <v>7200</v>
      </c>
      <c r="G310">
        <v>895</v>
      </c>
      <c r="H310">
        <v>0</v>
      </c>
      <c r="I310" t="s">
        <v>22</v>
      </c>
      <c r="J310" t="s">
        <v>22</v>
      </c>
    </row>
    <row r="311" spans="1:10" x14ac:dyDescent="0.25">
      <c r="A311" t="s">
        <v>423</v>
      </c>
      <c r="B311" t="s">
        <v>424</v>
      </c>
      <c r="C311">
        <v>35</v>
      </c>
      <c r="D311">
        <v>138</v>
      </c>
      <c r="E311">
        <v>208</v>
      </c>
      <c r="F311">
        <v>329</v>
      </c>
      <c r="G311">
        <v>138</v>
      </c>
      <c r="H311">
        <v>0</v>
      </c>
      <c r="I311" t="s">
        <v>22</v>
      </c>
      <c r="J311" t="s">
        <v>22</v>
      </c>
    </row>
    <row r="312" spans="1:10" x14ac:dyDescent="0.25">
      <c r="A312" t="s">
        <v>425</v>
      </c>
      <c r="B312" t="s">
        <v>426</v>
      </c>
      <c r="C312">
        <v>0</v>
      </c>
      <c r="D312">
        <v>810</v>
      </c>
      <c r="E312">
        <v>810</v>
      </c>
      <c r="F312">
        <v>810</v>
      </c>
      <c r="G312">
        <v>415</v>
      </c>
      <c r="H312">
        <v>0</v>
      </c>
      <c r="I312" t="s">
        <v>22</v>
      </c>
      <c r="J312" t="s">
        <v>22</v>
      </c>
    </row>
    <row r="313" spans="1:10" x14ac:dyDescent="0.25">
      <c r="A313" t="s">
        <v>427</v>
      </c>
      <c r="B313" t="s">
        <v>428</v>
      </c>
      <c r="C313">
        <v>0</v>
      </c>
      <c r="D313">
        <v>577</v>
      </c>
      <c r="E313">
        <v>600</v>
      </c>
      <c r="F313">
        <v>250</v>
      </c>
      <c r="G313">
        <v>346</v>
      </c>
      <c r="H313">
        <v>0</v>
      </c>
      <c r="I313" t="s">
        <v>22</v>
      </c>
      <c r="J313" t="s">
        <v>22</v>
      </c>
    </row>
    <row r="314" spans="1:10" x14ac:dyDescent="0.25">
      <c r="A314" t="s">
        <v>429</v>
      </c>
      <c r="B314" t="s">
        <v>430</v>
      </c>
      <c r="C314">
        <v>35</v>
      </c>
      <c r="D314">
        <v>69</v>
      </c>
      <c r="E314">
        <v>69</v>
      </c>
      <c r="F314">
        <v>69</v>
      </c>
      <c r="G314">
        <v>35</v>
      </c>
      <c r="H314">
        <v>0</v>
      </c>
      <c r="I314" t="s">
        <v>22</v>
      </c>
      <c r="J314" t="s">
        <v>22</v>
      </c>
    </row>
    <row r="315" spans="1:10" x14ac:dyDescent="0.25">
      <c r="A315" t="s">
        <v>431</v>
      </c>
      <c r="B315" t="s">
        <v>432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 t="s">
        <v>22</v>
      </c>
      <c r="J315" t="s">
        <v>22</v>
      </c>
    </row>
    <row r="316" spans="1:10" x14ac:dyDescent="0.25">
      <c r="A316" t="s">
        <v>433</v>
      </c>
      <c r="B316" t="s">
        <v>434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 t="s">
        <v>22</v>
      </c>
      <c r="J316" t="s">
        <v>22</v>
      </c>
    </row>
    <row r="317" spans="1:10" x14ac:dyDescent="0.25">
      <c r="A317" t="s">
        <v>435</v>
      </c>
      <c r="B317" t="s">
        <v>436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 t="s">
        <v>22</v>
      </c>
      <c r="J317" t="s">
        <v>22</v>
      </c>
    </row>
    <row r="318" spans="1:10" x14ac:dyDescent="0.25">
      <c r="A318" t="s">
        <v>437</v>
      </c>
      <c r="B318" t="s">
        <v>438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 t="s">
        <v>22</v>
      </c>
      <c r="J318" t="s">
        <v>22</v>
      </c>
    </row>
    <row r="319" spans="1:10" x14ac:dyDescent="0.25">
      <c r="A319" t="s">
        <v>439</v>
      </c>
      <c r="B319" t="s">
        <v>440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 t="s">
        <v>22</v>
      </c>
      <c r="J319" t="s">
        <v>22</v>
      </c>
    </row>
    <row r="320" spans="1:10" x14ac:dyDescent="0.25">
      <c r="C320" t="s">
        <v>108</v>
      </c>
      <c r="D320" t="s">
        <v>108</v>
      </c>
      <c r="E320" t="s">
        <v>108</v>
      </c>
      <c r="F320" t="s">
        <v>108</v>
      </c>
      <c r="G320" t="s">
        <v>108</v>
      </c>
    </row>
    <row r="321" spans="1:10" x14ac:dyDescent="0.25">
      <c r="H321" t="s">
        <v>22</v>
      </c>
      <c r="I321" t="s">
        <v>22</v>
      </c>
      <c r="J321" t="s">
        <v>22</v>
      </c>
    </row>
    <row r="322" spans="1:10" x14ac:dyDescent="0.25">
      <c r="A322" t="s">
        <v>109</v>
      </c>
    </row>
    <row r="323" spans="1:10" x14ac:dyDescent="0.25">
      <c r="B323" t="s">
        <v>441</v>
      </c>
      <c r="C323" s="2">
        <v>212622</v>
      </c>
      <c r="D323" s="2">
        <v>311743</v>
      </c>
      <c r="E323" s="2">
        <v>314108</v>
      </c>
      <c r="F323" s="2">
        <v>275959</v>
      </c>
      <c r="G323" s="2">
        <v>317744</v>
      </c>
      <c r="H323" s="2">
        <v>82248</v>
      </c>
    </row>
    <row r="325" spans="1:10" x14ac:dyDescent="0.25">
      <c r="A325" t="s">
        <v>442</v>
      </c>
      <c r="B325" t="s">
        <v>443</v>
      </c>
    </row>
    <row r="326" spans="1:10" x14ac:dyDescent="0.25">
      <c r="A326" t="s">
        <v>18</v>
      </c>
      <c r="B326" t="s">
        <v>21</v>
      </c>
    </row>
    <row r="327" spans="1:10" x14ac:dyDescent="0.25">
      <c r="A327" t="s">
        <v>444</v>
      </c>
      <c r="B327" t="s">
        <v>445</v>
      </c>
      <c r="C327" s="2">
        <v>17745</v>
      </c>
      <c r="D327" s="2">
        <v>17021</v>
      </c>
      <c r="E327" s="2">
        <v>18823</v>
      </c>
      <c r="F327" s="2">
        <v>21267</v>
      </c>
      <c r="G327" s="2">
        <v>16084</v>
      </c>
      <c r="H327" s="2">
        <v>9470</v>
      </c>
      <c r="I327" t="s">
        <v>22</v>
      </c>
      <c r="J327" t="s">
        <v>22</v>
      </c>
    </row>
    <row r="328" spans="1:10" x14ac:dyDescent="0.25">
      <c r="A328" t="s">
        <v>446</v>
      </c>
      <c r="B328" t="s">
        <v>447</v>
      </c>
      <c r="C328">
        <v>56</v>
      </c>
      <c r="D328">
        <v>0</v>
      </c>
      <c r="E328">
        <v>0</v>
      </c>
      <c r="F328">
        <v>100</v>
      </c>
      <c r="G328">
        <v>0</v>
      </c>
      <c r="H328">
        <v>0</v>
      </c>
      <c r="I328" t="s">
        <v>22</v>
      </c>
      <c r="J328" t="s">
        <v>22</v>
      </c>
    </row>
    <row r="329" spans="1:10" x14ac:dyDescent="0.25">
      <c r="A329" t="s">
        <v>448</v>
      </c>
      <c r="B329" t="s">
        <v>449</v>
      </c>
      <c r="C329" s="2">
        <v>4240</v>
      </c>
      <c r="D329">
        <v>786</v>
      </c>
      <c r="E329" s="2">
        <v>2188</v>
      </c>
      <c r="F329" s="2">
        <v>3000</v>
      </c>
      <c r="G329" s="2">
        <v>1039</v>
      </c>
      <c r="H329" s="2">
        <v>5300</v>
      </c>
      <c r="I329" t="s">
        <v>22</v>
      </c>
      <c r="J329" t="s">
        <v>22</v>
      </c>
    </row>
    <row r="330" spans="1:10" x14ac:dyDescent="0.25">
      <c r="A330" t="s">
        <v>450</v>
      </c>
      <c r="B330" t="s">
        <v>451</v>
      </c>
      <c r="C330">
        <v>0</v>
      </c>
      <c r="D330" s="2">
        <v>1560</v>
      </c>
      <c r="E330">
        <v>195</v>
      </c>
      <c r="F330">
        <v>500</v>
      </c>
      <c r="G330">
        <v>136</v>
      </c>
      <c r="H330" s="2">
        <v>1500</v>
      </c>
      <c r="I330" t="s">
        <v>22</v>
      </c>
      <c r="J330" t="s">
        <v>22</v>
      </c>
    </row>
    <row r="331" spans="1:10" x14ac:dyDescent="0.25">
      <c r="A331" t="s">
        <v>452</v>
      </c>
      <c r="B331" t="s">
        <v>453</v>
      </c>
      <c r="C331">
        <v>345</v>
      </c>
      <c r="D331">
        <v>0</v>
      </c>
      <c r="E331">
        <v>510</v>
      </c>
      <c r="F331" s="2">
        <v>1000</v>
      </c>
      <c r="G331">
        <v>0</v>
      </c>
      <c r="H331" s="2">
        <v>4300</v>
      </c>
      <c r="I331" t="s">
        <v>22</v>
      </c>
      <c r="J331" t="s">
        <v>22</v>
      </c>
    </row>
    <row r="332" spans="1:10" x14ac:dyDescent="0.25">
      <c r="A332" t="s">
        <v>454</v>
      </c>
      <c r="B332" t="s">
        <v>455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 t="s">
        <v>22</v>
      </c>
      <c r="J332" t="s">
        <v>22</v>
      </c>
    </row>
    <row r="333" spans="1:10" x14ac:dyDescent="0.25">
      <c r="A333" t="s">
        <v>456</v>
      </c>
      <c r="B333" t="s">
        <v>457</v>
      </c>
      <c r="C333" s="2">
        <v>4420</v>
      </c>
      <c r="D333" s="2">
        <v>5131</v>
      </c>
      <c r="E333" s="2">
        <v>5334</v>
      </c>
      <c r="F333" s="2">
        <v>3000</v>
      </c>
      <c r="G333" s="2">
        <v>1428</v>
      </c>
      <c r="H333" s="2">
        <v>1500</v>
      </c>
      <c r="I333" t="s">
        <v>22</v>
      </c>
      <c r="J333" t="s">
        <v>22</v>
      </c>
    </row>
    <row r="334" spans="1:10" x14ac:dyDescent="0.25">
      <c r="A334" t="s">
        <v>458</v>
      </c>
      <c r="B334" t="s">
        <v>459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150</v>
      </c>
      <c r="I334" t="s">
        <v>22</v>
      </c>
      <c r="J334" t="s">
        <v>22</v>
      </c>
    </row>
    <row r="335" spans="1:10" x14ac:dyDescent="0.25">
      <c r="A335" t="s">
        <v>460</v>
      </c>
      <c r="B335" t="s">
        <v>461</v>
      </c>
      <c r="C335">
        <v>236</v>
      </c>
      <c r="D335">
        <v>575</v>
      </c>
      <c r="E335">
        <v>504</v>
      </c>
      <c r="F335">
        <v>0</v>
      </c>
      <c r="G335">
        <v>0</v>
      </c>
      <c r="H335" s="2">
        <v>1750</v>
      </c>
      <c r="I335" t="s">
        <v>22</v>
      </c>
      <c r="J335" t="s">
        <v>22</v>
      </c>
    </row>
    <row r="336" spans="1:10" x14ac:dyDescent="0.25">
      <c r="A336" t="s">
        <v>462</v>
      </c>
      <c r="B336" t="s">
        <v>463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550</v>
      </c>
      <c r="I336" t="s">
        <v>22</v>
      </c>
      <c r="J336" t="s">
        <v>22</v>
      </c>
    </row>
    <row r="337" spans="1:10" x14ac:dyDescent="0.25">
      <c r="A337" t="s">
        <v>464</v>
      </c>
      <c r="B337" t="s">
        <v>465</v>
      </c>
      <c r="C337">
        <v>0</v>
      </c>
      <c r="D337">
        <v>0</v>
      </c>
      <c r="E337">
        <v>0</v>
      </c>
      <c r="F337">
        <v>0</v>
      </c>
      <c r="G337">
        <v>0</v>
      </c>
      <c r="H337" s="2">
        <v>4000</v>
      </c>
      <c r="I337" t="s">
        <v>22</v>
      </c>
      <c r="J337" t="s">
        <v>22</v>
      </c>
    </row>
    <row r="338" spans="1:10" x14ac:dyDescent="0.25">
      <c r="A338" t="s">
        <v>466</v>
      </c>
      <c r="B338" t="s">
        <v>467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 t="s">
        <v>22</v>
      </c>
      <c r="J338" t="s">
        <v>22</v>
      </c>
    </row>
    <row r="339" spans="1:10" x14ac:dyDescent="0.25">
      <c r="A339" t="s">
        <v>468</v>
      </c>
      <c r="B339" t="s">
        <v>469</v>
      </c>
      <c r="C339" s="2">
        <v>2531</v>
      </c>
      <c r="D339" s="2">
        <v>3246</v>
      </c>
      <c r="E339" s="2">
        <v>5541</v>
      </c>
      <c r="F339" s="2">
        <v>3000</v>
      </c>
      <c r="G339" s="2">
        <v>4945</v>
      </c>
      <c r="H339">
        <v>200</v>
      </c>
      <c r="I339" t="s">
        <v>22</v>
      </c>
      <c r="J339" t="s">
        <v>22</v>
      </c>
    </row>
    <row r="340" spans="1:10" x14ac:dyDescent="0.25">
      <c r="A340" t="s">
        <v>470</v>
      </c>
      <c r="B340" t="s">
        <v>471</v>
      </c>
      <c r="C340">
        <v>289</v>
      </c>
      <c r="D340">
        <v>392</v>
      </c>
      <c r="E340">
        <v>630</v>
      </c>
      <c r="F340">
        <v>300</v>
      </c>
      <c r="G340">
        <v>555</v>
      </c>
      <c r="H340" s="2">
        <v>2200</v>
      </c>
      <c r="I340" t="s">
        <v>22</v>
      </c>
      <c r="J340" t="s">
        <v>22</v>
      </c>
    </row>
    <row r="341" spans="1:10" x14ac:dyDescent="0.25">
      <c r="A341" t="s">
        <v>472</v>
      </c>
      <c r="B341" t="s">
        <v>473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500</v>
      </c>
      <c r="I341" t="s">
        <v>22</v>
      </c>
      <c r="J341" t="s">
        <v>22</v>
      </c>
    </row>
    <row r="342" spans="1:10" x14ac:dyDescent="0.25">
      <c r="A342" t="s">
        <v>474</v>
      </c>
      <c r="B342" t="s">
        <v>475</v>
      </c>
      <c r="C342" s="2">
        <v>3750</v>
      </c>
      <c r="D342" s="2">
        <v>2793</v>
      </c>
      <c r="E342" s="2">
        <v>4689</v>
      </c>
      <c r="F342" s="2">
        <v>3000</v>
      </c>
      <c r="G342" s="2">
        <v>12738</v>
      </c>
      <c r="H342" s="2">
        <v>12500</v>
      </c>
      <c r="I342" t="s">
        <v>22</v>
      </c>
      <c r="J342" t="s">
        <v>22</v>
      </c>
    </row>
    <row r="343" spans="1:10" x14ac:dyDescent="0.25">
      <c r="A343" t="s">
        <v>476</v>
      </c>
      <c r="B343" t="s">
        <v>477</v>
      </c>
      <c r="C343">
        <v>0</v>
      </c>
      <c r="D343" s="2">
        <v>1189</v>
      </c>
      <c r="E343" s="2">
        <v>1418</v>
      </c>
      <c r="F343">
        <v>750</v>
      </c>
      <c r="G343">
        <v>0</v>
      </c>
      <c r="H343">
        <v>0</v>
      </c>
      <c r="I343" t="s">
        <v>22</v>
      </c>
      <c r="J343" t="s">
        <v>22</v>
      </c>
    </row>
    <row r="344" spans="1:10" x14ac:dyDescent="0.25">
      <c r="C344" t="s">
        <v>108</v>
      </c>
      <c r="D344" t="s">
        <v>108</v>
      </c>
      <c r="E344" t="s">
        <v>108</v>
      </c>
      <c r="F344" t="s">
        <v>108</v>
      </c>
      <c r="G344" t="s">
        <v>108</v>
      </c>
    </row>
    <row r="345" spans="1:10" x14ac:dyDescent="0.25">
      <c r="H345" t="s">
        <v>22</v>
      </c>
      <c r="I345" t="s">
        <v>22</v>
      </c>
      <c r="J345" t="s">
        <v>22</v>
      </c>
    </row>
    <row r="346" spans="1:10" x14ac:dyDescent="0.25">
      <c r="A346" t="s">
        <v>109</v>
      </c>
    </row>
    <row r="347" spans="1:10" x14ac:dyDescent="0.25">
      <c r="B347" t="s">
        <v>478</v>
      </c>
      <c r="C347" s="2">
        <v>33612</v>
      </c>
      <c r="D347" s="2">
        <v>32693</v>
      </c>
      <c r="E347" s="2">
        <v>39833</v>
      </c>
      <c r="F347" s="2">
        <v>35917</v>
      </c>
      <c r="G347" s="2">
        <v>36926</v>
      </c>
      <c r="H347" s="2">
        <v>43920</v>
      </c>
    </row>
    <row r="349" spans="1:10" x14ac:dyDescent="0.25">
      <c r="A349" t="s">
        <v>110</v>
      </c>
    </row>
    <row r="350" spans="1:10" x14ac:dyDescent="0.25">
      <c r="A350" s="1">
        <v>43991</v>
      </c>
      <c r="B350" t="s">
        <v>111</v>
      </c>
      <c r="D350" t="s">
        <v>112</v>
      </c>
      <c r="E350" t="s">
        <v>113</v>
      </c>
      <c r="F350" t="s">
        <v>114</v>
      </c>
      <c r="J350" t="s">
        <v>479</v>
      </c>
    </row>
    <row r="351" spans="1:10" x14ac:dyDescent="0.25">
      <c r="D351" t="s">
        <v>116</v>
      </c>
      <c r="E351" t="s">
        <v>117</v>
      </c>
      <c r="F351" t="s">
        <v>118</v>
      </c>
    </row>
    <row r="352" spans="1:10" x14ac:dyDescent="0.25">
      <c r="D352" t="s">
        <v>119</v>
      </c>
      <c r="E352" t="s">
        <v>120</v>
      </c>
      <c r="F352" t="s">
        <v>121</v>
      </c>
    </row>
    <row r="353" spans="1:10" x14ac:dyDescent="0.25">
      <c r="A353" t="s">
        <v>122</v>
      </c>
      <c r="B353" t="s">
        <v>123</v>
      </c>
    </row>
    <row r="354" spans="1:10" x14ac:dyDescent="0.25">
      <c r="A354" t="s">
        <v>386</v>
      </c>
    </row>
    <row r="355" spans="1:10" x14ac:dyDescent="0.25">
      <c r="F355" t="s">
        <v>2</v>
      </c>
      <c r="G355" t="s">
        <v>3</v>
      </c>
      <c r="H355" t="s">
        <v>4</v>
      </c>
      <c r="I355" t="s">
        <v>5</v>
      </c>
      <c r="J355" t="s">
        <v>6</v>
      </c>
    </row>
    <row r="356" spans="1:10" x14ac:dyDescent="0.25">
      <c r="C356" t="s">
        <v>7</v>
      </c>
      <c r="D356" t="s">
        <v>8</v>
      </c>
      <c r="E356" t="s">
        <v>9</v>
      </c>
      <c r="F356" t="s">
        <v>10</v>
      </c>
      <c r="G356" t="s">
        <v>124</v>
      </c>
      <c r="H356" t="s">
        <v>12</v>
      </c>
      <c r="I356" t="s">
        <v>13</v>
      </c>
      <c r="J356" t="s">
        <v>14</v>
      </c>
    </row>
    <row r="357" spans="1:10" x14ac:dyDescent="0.25">
      <c r="C357" t="s">
        <v>15</v>
      </c>
      <c r="D357" t="s">
        <v>15</v>
      </c>
      <c r="E357" t="s">
        <v>15</v>
      </c>
      <c r="F357" t="s">
        <v>16</v>
      </c>
      <c r="G357" t="s">
        <v>15</v>
      </c>
      <c r="H357" t="s">
        <v>17</v>
      </c>
      <c r="I357" t="s">
        <v>16</v>
      </c>
      <c r="J357" t="s">
        <v>16</v>
      </c>
    </row>
    <row r="358" spans="1:10" x14ac:dyDescent="0.25">
      <c r="A358" t="s">
        <v>18</v>
      </c>
      <c r="B358" t="s">
        <v>19</v>
      </c>
      <c r="C358" t="s">
        <v>20</v>
      </c>
      <c r="D358" t="s">
        <v>21</v>
      </c>
      <c r="E358" t="s">
        <v>22</v>
      </c>
      <c r="F358" t="s">
        <v>23</v>
      </c>
      <c r="G358" t="s">
        <v>24</v>
      </c>
      <c r="H358" t="s">
        <v>20</v>
      </c>
      <c r="I358" t="s">
        <v>24</v>
      </c>
      <c r="J358" t="s">
        <v>20</v>
      </c>
    </row>
    <row r="359" spans="1:10" x14ac:dyDescent="0.25">
      <c r="A359" t="s">
        <v>462</v>
      </c>
      <c r="B359" t="s">
        <v>463</v>
      </c>
      <c r="C359" t="s">
        <v>480</v>
      </c>
      <c r="D359" t="s">
        <v>481</v>
      </c>
    </row>
    <row r="360" spans="1:10" x14ac:dyDescent="0.25">
      <c r="C360" t="s">
        <v>482</v>
      </c>
      <c r="D360">
        <v>70</v>
      </c>
    </row>
    <row r="361" spans="1:10" x14ac:dyDescent="0.25">
      <c r="A361" t="s">
        <v>483</v>
      </c>
      <c r="B361" t="s">
        <v>484</v>
      </c>
    </row>
    <row r="362" spans="1:10" x14ac:dyDescent="0.25">
      <c r="A362" t="s">
        <v>485</v>
      </c>
      <c r="B362" t="s">
        <v>486</v>
      </c>
    </row>
    <row r="363" spans="1:10" x14ac:dyDescent="0.25">
      <c r="C363">
        <v>100</v>
      </c>
    </row>
    <row r="364" spans="1:10" x14ac:dyDescent="0.25">
      <c r="A364" t="s">
        <v>487</v>
      </c>
      <c r="B364" t="s">
        <v>488</v>
      </c>
    </row>
    <row r="366" spans="1:10" x14ac:dyDescent="0.25">
      <c r="A366" t="s">
        <v>489</v>
      </c>
    </row>
    <row r="367" spans="1:10" x14ac:dyDescent="0.25">
      <c r="A367" t="s">
        <v>18</v>
      </c>
    </row>
    <row r="368" spans="1:10" x14ac:dyDescent="0.25">
      <c r="A368" t="s">
        <v>490</v>
      </c>
      <c r="B368" t="s">
        <v>491</v>
      </c>
      <c r="C368">
        <v>0</v>
      </c>
      <c r="D368">
        <v>300</v>
      </c>
      <c r="E368">
        <v>0</v>
      </c>
      <c r="F368">
        <v>400</v>
      </c>
      <c r="G368">
        <v>0</v>
      </c>
      <c r="H368">
        <v>350</v>
      </c>
      <c r="I368" t="s">
        <v>22</v>
      </c>
      <c r="J368" t="s">
        <v>22</v>
      </c>
    </row>
    <row r="369" spans="1:10" x14ac:dyDescent="0.25">
      <c r="A369" t="s">
        <v>492</v>
      </c>
      <c r="B369" t="s">
        <v>493</v>
      </c>
      <c r="C369" s="2">
        <v>3076</v>
      </c>
      <c r="D369" s="2">
        <v>4030</v>
      </c>
      <c r="E369" s="2">
        <v>4014</v>
      </c>
      <c r="F369" s="2">
        <v>3500</v>
      </c>
      <c r="G369" s="2">
        <v>2000</v>
      </c>
      <c r="H369" s="2">
        <v>1000</v>
      </c>
      <c r="I369" t="s">
        <v>22</v>
      </c>
      <c r="J369" t="s">
        <v>22</v>
      </c>
    </row>
    <row r="370" spans="1:10" x14ac:dyDescent="0.25">
      <c r="A370" t="s">
        <v>494</v>
      </c>
      <c r="B370" t="s">
        <v>489</v>
      </c>
      <c r="C370" s="2">
        <v>3971</v>
      </c>
      <c r="D370" s="2">
        <v>3956</v>
      </c>
      <c r="E370" s="2">
        <v>3273</v>
      </c>
      <c r="F370" s="2">
        <v>3250</v>
      </c>
      <c r="G370" s="2">
        <v>1166</v>
      </c>
      <c r="H370" s="2">
        <v>2000</v>
      </c>
      <c r="I370" t="s">
        <v>22</v>
      </c>
      <c r="J370" t="s">
        <v>22</v>
      </c>
    </row>
    <row r="371" spans="1:10" x14ac:dyDescent="0.25">
      <c r="A371" t="s">
        <v>495</v>
      </c>
      <c r="B371" t="s">
        <v>496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 t="s">
        <v>22</v>
      </c>
      <c r="J371" t="s">
        <v>22</v>
      </c>
    </row>
    <row r="372" spans="1:10" x14ac:dyDescent="0.25">
      <c r="A372" t="s">
        <v>497</v>
      </c>
      <c r="B372" t="s">
        <v>498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 t="s">
        <v>22</v>
      </c>
      <c r="J372" t="s">
        <v>22</v>
      </c>
    </row>
    <row r="373" spans="1:10" x14ac:dyDescent="0.25">
      <c r="A373" t="s">
        <v>499</v>
      </c>
      <c r="B373" t="s">
        <v>500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 t="s">
        <v>22</v>
      </c>
      <c r="J373" t="s">
        <v>22</v>
      </c>
    </row>
    <row r="374" spans="1:10" x14ac:dyDescent="0.25">
      <c r="C374" t="s">
        <v>108</v>
      </c>
      <c r="D374" t="s">
        <v>108</v>
      </c>
      <c r="E374" t="s">
        <v>108</v>
      </c>
      <c r="F374" t="s">
        <v>108</v>
      </c>
      <c r="G374" t="s">
        <v>108</v>
      </c>
    </row>
    <row r="375" spans="1:10" x14ac:dyDescent="0.25">
      <c r="H375" t="s">
        <v>22</v>
      </c>
      <c r="I375" t="s">
        <v>22</v>
      </c>
      <c r="J375" t="s">
        <v>22</v>
      </c>
    </row>
    <row r="376" spans="1:10" x14ac:dyDescent="0.25">
      <c r="A376" t="s">
        <v>109</v>
      </c>
    </row>
    <row r="377" spans="1:10" x14ac:dyDescent="0.25">
      <c r="B377" t="s">
        <v>489</v>
      </c>
      <c r="C377" s="2">
        <v>7047</v>
      </c>
      <c r="D377" s="2">
        <v>8285</v>
      </c>
      <c r="E377" s="2">
        <v>7288</v>
      </c>
      <c r="F377" s="2">
        <v>7150</v>
      </c>
      <c r="G377" s="2">
        <v>3166</v>
      </c>
      <c r="H377" s="2">
        <v>3350</v>
      </c>
    </row>
    <row r="379" spans="1:10" x14ac:dyDescent="0.25">
      <c r="A379" t="s">
        <v>501</v>
      </c>
    </row>
    <row r="380" spans="1:10" x14ac:dyDescent="0.25">
      <c r="A380" t="s">
        <v>18</v>
      </c>
    </row>
    <row r="381" spans="1:10" x14ac:dyDescent="0.25">
      <c r="A381" t="s">
        <v>502</v>
      </c>
      <c r="B381" t="s">
        <v>503</v>
      </c>
      <c r="C381" s="2">
        <v>5250</v>
      </c>
      <c r="D381" s="2">
        <v>3045</v>
      </c>
      <c r="E381">
        <v>0</v>
      </c>
      <c r="F381" s="2">
        <v>18000</v>
      </c>
      <c r="G381" s="2">
        <v>35259</v>
      </c>
      <c r="H381">
        <v>0</v>
      </c>
      <c r="I381" t="s">
        <v>22</v>
      </c>
      <c r="J381" t="s">
        <v>22</v>
      </c>
    </row>
    <row r="382" spans="1:10" x14ac:dyDescent="0.25">
      <c r="A382" t="s">
        <v>504</v>
      </c>
      <c r="B382" t="s">
        <v>505</v>
      </c>
      <c r="C382" s="2">
        <v>9975</v>
      </c>
      <c r="D382" s="2">
        <v>11250</v>
      </c>
      <c r="E382" s="2">
        <v>12750</v>
      </c>
      <c r="F382" s="2">
        <v>20000</v>
      </c>
      <c r="G382" s="2">
        <v>7250</v>
      </c>
      <c r="H382" s="2">
        <v>3500</v>
      </c>
      <c r="I382" t="s">
        <v>22</v>
      </c>
      <c r="J382" t="s">
        <v>22</v>
      </c>
    </row>
    <row r="383" spans="1:10" x14ac:dyDescent="0.25">
      <c r="A383" t="s">
        <v>506</v>
      </c>
      <c r="B383" t="s">
        <v>507</v>
      </c>
      <c r="C383">
        <v>0</v>
      </c>
      <c r="D383">
        <v>0</v>
      </c>
      <c r="E383">
        <v>0</v>
      </c>
      <c r="F383">
        <v>0</v>
      </c>
      <c r="G383">
        <v>0</v>
      </c>
      <c r="H383" s="2">
        <v>5500</v>
      </c>
      <c r="I383" t="s">
        <v>22</v>
      </c>
      <c r="J383" t="s">
        <v>22</v>
      </c>
    </row>
    <row r="384" spans="1:10" x14ac:dyDescent="0.25">
      <c r="A384" t="s">
        <v>508</v>
      </c>
      <c r="B384" t="s">
        <v>509</v>
      </c>
      <c r="C384">
        <v>0</v>
      </c>
      <c r="D384" s="2">
        <v>86800</v>
      </c>
      <c r="E384" s="2">
        <v>20398</v>
      </c>
      <c r="F384" s="2">
        <v>30000</v>
      </c>
      <c r="G384">
        <v>0</v>
      </c>
      <c r="H384">
        <v>0</v>
      </c>
      <c r="I384" t="s">
        <v>22</v>
      </c>
      <c r="J384" t="s">
        <v>22</v>
      </c>
    </row>
    <row r="385" spans="1:10" x14ac:dyDescent="0.25">
      <c r="A385" t="s">
        <v>510</v>
      </c>
      <c r="B385" t="s">
        <v>511</v>
      </c>
      <c r="C385" s="2">
        <v>1750</v>
      </c>
      <c r="D385" s="2">
        <v>8378</v>
      </c>
      <c r="E385">
        <v>399</v>
      </c>
      <c r="F385" s="2">
        <v>5000</v>
      </c>
      <c r="G385">
        <v>0</v>
      </c>
      <c r="H385">
        <v>0</v>
      </c>
      <c r="I385" t="s">
        <v>22</v>
      </c>
      <c r="J385" t="s">
        <v>22</v>
      </c>
    </row>
    <row r="386" spans="1:10" x14ac:dyDescent="0.25">
      <c r="A386" t="s">
        <v>512</v>
      </c>
      <c r="B386" t="s">
        <v>513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750</v>
      </c>
      <c r="I386" t="s">
        <v>22</v>
      </c>
      <c r="J386" t="s">
        <v>22</v>
      </c>
    </row>
    <row r="387" spans="1:10" x14ac:dyDescent="0.25">
      <c r="A387" t="s">
        <v>514</v>
      </c>
      <c r="B387" t="s">
        <v>515</v>
      </c>
      <c r="C387">
        <v>0</v>
      </c>
      <c r="D387">
        <v>0</v>
      </c>
      <c r="E387">
        <v>0</v>
      </c>
      <c r="F387">
        <v>0</v>
      </c>
      <c r="G387">
        <v>0</v>
      </c>
      <c r="H387" s="2">
        <v>4170</v>
      </c>
      <c r="I387" t="s">
        <v>22</v>
      </c>
      <c r="J387" t="s">
        <v>22</v>
      </c>
    </row>
    <row r="388" spans="1:10" x14ac:dyDescent="0.25">
      <c r="A388" t="s">
        <v>516</v>
      </c>
      <c r="B388" t="s">
        <v>517</v>
      </c>
      <c r="C388" s="2">
        <v>4000</v>
      </c>
      <c r="D388">
        <v>0</v>
      </c>
      <c r="E388">
        <v>0</v>
      </c>
      <c r="F388" s="2">
        <v>2000</v>
      </c>
      <c r="G388">
        <v>0</v>
      </c>
      <c r="H388">
        <v>750</v>
      </c>
      <c r="I388" t="s">
        <v>22</v>
      </c>
      <c r="J388" t="s">
        <v>22</v>
      </c>
    </row>
    <row r="389" spans="1:10" x14ac:dyDescent="0.25">
      <c r="A389" t="s">
        <v>518</v>
      </c>
      <c r="B389" t="s">
        <v>519</v>
      </c>
      <c r="C389">
        <v>0</v>
      </c>
      <c r="D389">
        <v>0</v>
      </c>
      <c r="E389">
        <v>0</v>
      </c>
      <c r="F389" s="2">
        <v>1000</v>
      </c>
      <c r="G389">
        <v>0</v>
      </c>
      <c r="H389" s="2">
        <v>1000</v>
      </c>
      <c r="I389" t="s">
        <v>22</v>
      </c>
      <c r="J389" t="s">
        <v>22</v>
      </c>
    </row>
    <row r="390" spans="1:10" x14ac:dyDescent="0.25">
      <c r="A390" t="s">
        <v>520</v>
      </c>
      <c r="B390" t="s">
        <v>521</v>
      </c>
      <c r="C390">
        <v>550</v>
      </c>
      <c r="D390">
        <v>0</v>
      </c>
      <c r="E390">
        <v>0</v>
      </c>
      <c r="F390" s="2">
        <v>10000</v>
      </c>
      <c r="G390">
        <v>0</v>
      </c>
      <c r="H390">
        <v>0</v>
      </c>
      <c r="I390" t="s">
        <v>22</v>
      </c>
      <c r="J390" t="s">
        <v>22</v>
      </c>
    </row>
    <row r="391" spans="1:10" x14ac:dyDescent="0.25">
      <c r="A391" t="s">
        <v>522</v>
      </c>
      <c r="B391" t="s">
        <v>523</v>
      </c>
      <c r="C391" s="2">
        <v>17603</v>
      </c>
      <c r="D391" s="2">
        <v>8143</v>
      </c>
      <c r="E391" s="2">
        <v>10959</v>
      </c>
      <c r="F391" s="2">
        <v>15000</v>
      </c>
      <c r="G391" s="2">
        <v>9007</v>
      </c>
      <c r="H391">
        <v>0</v>
      </c>
      <c r="I391" t="s">
        <v>22</v>
      </c>
      <c r="J391" t="s">
        <v>22</v>
      </c>
    </row>
    <row r="392" spans="1:10" x14ac:dyDescent="0.25">
      <c r="C392" t="s">
        <v>108</v>
      </c>
      <c r="D392" t="s">
        <v>108</v>
      </c>
      <c r="E392" t="s">
        <v>108</v>
      </c>
      <c r="F392" t="s">
        <v>108</v>
      </c>
      <c r="G392" t="s">
        <v>108</v>
      </c>
    </row>
    <row r="393" spans="1:10" x14ac:dyDescent="0.25">
      <c r="H393" t="s">
        <v>22</v>
      </c>
      <c r="I393" t="s">
        <v>22</v>
      </c>
      <c r="J393" t="s">
        <v>22</v>
      </c>
    </row>
    <row r="394" spans="1:10" x14ac:dyDescent="0.25">
      <c r="A394" t="s">
        <v>109</v>
      </c>
    </row>
    <row r="395" spans="1:10" x14ac:dyDescent="0.25">
      <c r="B395" t="s">
        <v>501</v>
      </c>
      <c r="C395" s="2">
        <v>39128</v>
      </c>
      <c r="D395" s="2">
        <v>117616</v>
      </c>
      <c r="E395" s="2">
        <v>44505</v>
      </c>
      <c r="F395" s="2">
        <v>101000</v>
      </c>
      <c r="G395" s="2">
        <v>51516</v>
      </c>
      <c r="H395" s="2">
        <v>15670</v>
      </c>
    </row>
    <row r="397" spans="1:10" x14ac:dyDescent="0.25">
      <c r="A397" t="s">
        <v>524</v>
      </c>
      <c r="B397" t="s">
        <v>525</v>
      </c>
    </row>
    <row r="398" spans="1:10" x14ac:dyDescent="0.25">
      <c r="A398" t="s">
        <v>18</v>
      </c>
      <c r="B398" t="s">
        <v>526</v>
      </c>
    </row>
    <row r="399" spans="1:10" x14ac:dyDescent="0.25">
      <c r="A399" t="s">
        <v>527</v>
      </c>
      <c r="B399" t="s">
        <v>528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 t="s">
        <v>22</v>
      </c>
      <c r="J399" t="s">
        <v>22</v>
      </c>
    </row>
    <row r="400" spans="1:10" x14ac:dyDescent="0.25">
      <c r="A400" t="s">
        <v>529</v>
      </c>
      <c r="B400" t="s">
        <v>530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 t="s">
        <v>22</v>
      </c>
      <c r="J400" t="s">
        <v>22</v>
      </c>
    </row>
    <row r="401" spans="1:10" x14ac:dyDescent="0.25">
      <c r="A401" t="s">
        <v>531</v>
      </c>
      <c r="B401" t="s">
        <v>532</v>
      </c>
      <c r="C401">
        <v>0</v>
      </c>
      <c r="D401" s="2">
        <v>25001</v>
      </c>
      <c r="E401" s="2">
        <v>5061</v>
      </c>
      <c r="F401">
        <v>0</v>
      </c>
      <c r="G401">
        <v>0</v>
      </c>
      <c r="H401">
        <v>0</v>
      </c>
      <c r="I401" t="s">
        <v>22</v>
      </c>
      <c r="J401" t="s">
        <v>22</v>
      </c>
    </row>
    <row r="402" spans="1:10" x14ac:dyDescent="0.25">
      <c r="A402" t="s">
        <v>533</v>
      </c>
      <c r="B402" t="s">
        <v>534</v>
      </c>
      <c r="C402">
        <v>0</v>
      </c>
      <c r="D402">
        <v>0</v>
      </c>
      <c r="E402">
        <v>0</v>
      </c>
      <c r="F402">
        <v>0</v>
      </c>
      <c r="G402">
        <v>0</v>
      </c>
      <c r="H402" s="2">
        <v>1500</v>
      </c>
      <c r="I402" t="s">
        <v>22</v>
      </c>
      <c r="J402" t="s">
        <v>22</v>
      </c>
    </row>
    <row r="403" spans="1:10" x14ac:dyDescent="0.25">
      <c r="A403" t="s">
        <v>535</v>
      </c>
      <c r="B403" t="s">
        <v>75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 t="s">
        <v>22</v>
      </c>
      <c r="J403" t="s">
        <v>22</v>
      </c>
    </row>
    <row r="404" spans="1:10" x14ac:dyDescent="0.25">
      <c r="A404" t="s">
        <v>536</v>
      </c>
      <c r="B404" t="s">
        <v>537</v>
      </c>
      <c r="C404">
        <v>0</v>
      </c>
      <c r="D404">
        <v>0</v>
      </c>
      <c r="E404">
        <v>0</v>
      </c>
      <c r="F404">
        <v>0</v>
      </c>
      <c r="G404">
        <v>0</v>
      </c>
      <c r="H404" s="2">
        <v>2500</v>
      </c>
      <c r="I404" t="s">
        <v>22</v>
      </c>
      <c r="J404" t="s">
        <v>22</v>
      </c>
    </row>
    <row r="405" spans="1:10" x14ac:dyDescent="0.25">
      <c r="C405" t="s">
        <v>108</v>
      </c>
      <c r="D405" t="s">
        <v>108</v>
      </c>
      <c r="E405" t="s">
        <v>108</v>
      </c>
      <c r="F405" t="s">
        <v>108</v>
      </c>
      <c r="G405" t="s">
        <v>108</v>
      </c>
    </row>
    <row r="406" spans="1:10" x14ac:dyDescent="0.25">
      <c r="H406" t="s">
        <v>22</v>
      </c>
      <c r="I406" t="s">
        <v>22</v>
      </c>
      <c r="J406" t="s">
        <v>22</v>
      </c>
    </row>
    <row r="407" spans="1:10" x14ac:dyDescent="0.25">
      <c r="A407" t="s">
        <v>109</v>
      </c>
    </row>
    <row r="408" spans="1:10" x14ac:dyDescent="0.25">
      <c r="B408" t="s">
        <v>530</v>
      </c>
      <c r="C408">
        <v>0</v>
      </c>
      <c r="D408" s="2">
        <v>25001</v>
      </c>
      <c r="E408" s="2">
        <v>5061</v>
      </c>
      <c r="F408">
        <v>0</v>
      </c>
      <c r="G408">
        <v>0</v>
      </c>
      <c r="H408" s="2">
        <v>4000</v>
      </c>
    </row>
    <row r="409" spans="1:10" x14ac:dyDescent="0.25">
      <c r="A409" t="s">
        <v>18</v>
      </c>
      <c r="B409" t="s">
        <v>19</v>
      </c>
      <c r="C409" t="s">
        <v>20</v>
      </c>
      <c r="D409" t="s">
        <v>21</v>
      </c>
      <c r="E409" t="s">
        <v>26</v>
      </c>
    </row>
    <row r="410" spans="1:10" x14ac:dyDescent="0.25">
      <c r="E410" t="s">
        <v>339</v>
      </c>
      <c r="F410" t="s">
        <v>23</v>
      </c>
      <c r="G410" t="s">
        <v>24</v>
      </c>
      <c r="H410" t="s">
        <v>20</v>
      </c>
      <c r="I410" t="s">
        <v>24</v>
      </c>
      <c r="J410" t="s">
        <v>20</v>
      </c>
    </row>
    <row r="411" spans="1:10" x14ac:dyDescent="0.25">
      <c r="A411" t="s">
        <v>109</v>
      </c>
    </row>
    <row r="412" spans="1:10" x14ac:dyDescent="0.25">
      <c r="A412">
        <v>10</v>
      </c>
      <c r="B412" t="e">
        <f>-ADMINISTRATION</f>
        <v>#NAME?</v>
      </c>
      <c r="C412" s="2">
        <v>292410</v>
      </c>
      <c r="D412" s="2">
        <v>495338</v>
      </c>
      <c r="E412" s="2">
        <v>410794</v>
      </c>
      <c r="F412" s="2">
        <v>420026</v>
      </c>
      <c r="G412" s="2">
        <v>409352</v>
      </c>
      <c r="H412" s="2">
        <v>149188</v>
      </c>
    </row>
    <row r="414" spans="1:10" x14ac:dyDescent="0.25">
      <c r="A414" t="s">
        <v>125</v>
      </c>
      <c r="B414" t="s">
        <v>126</v>
      </c>
    </row>
    <row r="415" spans="1:10" x14ac:dyDescent="0.25">
      <c r="A415" t="s">
        <v>389</v>
      </c>
      <c r="B415" t="s">
        <v>538</v>
      </c>
    </row>
    <row r="417" spans="1:10" x14ac:dyDescent="0.25">
      <c r="A417" t="s">
        <v>391</v>
      </c>
      <c r="B417" t="s">
        <v>392</v>
      </c>
    </row>
    <row r="418" spans="1:10" x14ac:dyDescent="0.25">
      <c r="A418" t="s">
        <v>18</v>
      </c>
      <c r="B418" t="s">
        <v>228</v>
      </c>
    </row>
    <row r="419" spans="1:10" x14ac:dyDescent="0.25">
      <c r="A419" t="s">
        <v>539</v>
      </c>
      <c r="B419" t="s">
        <v>396</v>
      </c>
      <c r="C419">
        <v>1</v>
      </c>
      <c r="D419">
        <v>0</v>
      </c>
      <c r="E419">
        <v>0</v>
      </c>
      <c r="F419">
        <v>0</v>
      </c>
      <c r="G419">
        <v>0</v>
      </c>
      <c r="H419">
        <v>0</v>
      </c>
      <c r="I419" t="s">
        <v>22</v>
      </c>
      <c r="J419" t="s">
        <v>22</v>
      </c>
    </row>
    <row r="420" spans="1:10" x14ac:dyDescent="0.25">
      <c r="A420" t="s">
        <v>540</v>
      </c>
      <c r="B420" t="s">
        <v>398</v>
      </c>
      <c r="C420">
        <v>114</v>
      </c>
      <c r="D420">
        <v>0</v>
      </c>
      <c r="E420">
        <v>0</v>
      </c>
      <c r="F420">
        <v>0</v>
      </c>
      <c r="G420">
        <v>0</v>
      </c>
      <c r="H420">
        <v>0</v>
      </c>
      <c r="I420" t="s">
        <v>22</v>
      </c>
      <c r="J420" t="s">
        <v>22</v>
      </c>
    </row>
    <row r="421" spans="1:10" x14ac:dyDescent="0.25">
      <c r="A421" t="s">
        <v>541</v>
      </c>
      <c r="B421" t="s">
        <v>430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 t="s">
        <v>22</v>
      </c>
      <c r="J421" t="s">
        <v>22</v>
      </c>
    </row>
    <row r="422" spans="1:10" x14ac:dyDescent="0.25">
      <c r="A422" t="s">
        <v>542</v>
      </c>
      <c r="B422" t="s">
        <v>543</v>
      </c>
      <c r="C422" s="2">
        <v>1484</v>
      </c>
      <c r="D422">
        <v>0</v>
      </c>
      <c r="E422">
        <v>0</v>
      </c>
      <c r="F422">
        <v>0</v>
      </c>
      <c r="G422">
        <v>0</v>
      </c>
      <c r="H422">
        <v>0</v>
      </c>
      <c r="I422" t="s">
        <v>22</v>
      </c>
      <c r="J422" t="s">
        <v>22</v>
      </c>
    </row>
    <row r="423" spans="1:10" x14ac:dyDescent="0.25">
      <c r="C423" t="s">
        <v>108</v>
      </c>
      <c r="D423" t="s">
        <v>108</v>
      </c>
      <c r="E423" t="s">
        <v>108</v>
      </c>
      <c r="F423" t="s">
        <v>108</v>
      </c>
      <c r="G423" t="s">
        <v>108</v>
      </c>
    </row>
    <row r="424" spans="1:10" x14ac:dyDescent="0.25">
      <c r="H424" t="s">
        <v>22</v>
      </c>
      <c r="I424" t="s">
        <v>22</v>
      </c>
      <c r="J424" t="s">
        <v>22</v>
      </c>
    </row>
    <row r="425" spans="1:10" x14ac:dyDescent="0.25">
      <c r="A425" t="s">
        <v>109</v>
      </c>
    </row>
    <row r="426" spans="1:10" x14ac:dyDescent="0.25">
      <c r="B426" t="s">
        <v>441</v>
      </c>
      <c r="C426" s="2">
        <v>1599</v>
      </c>
      <c r="D426">
        <v>0</v>
      </c>
      <c r="E426">
        <v>0</v>
      </c>
      <c r="F426">
        <v>0</v>
      </c>
      <c r="G426">
        <v>0</v>
      </c>
      <c r="H426">
        <v>0</v>
      </c>
    </row>
    <row r="427" spans="1:10" x14ac:dyDescent="0.25">
      <c r="A427" t="s">
        <v>110</v>
      </c>
    </row>
    <row r="428" spans="1:10" x14ac:dyDescent="0.25">
      <c r="A428" s="1">
        <v>43991</v>
      </c>
      <c r="B428" t="s">
        <v>111</v>
      </c>
      <c r="D428" t="s">
        <v>112</v>
      </c>
      <c r="E428" t="s">
        <v>113</v>
      </c>
      <c r="F428" t="s">
        <v>114</v>
      </c>
      <c r="J428" t="s">
        <v>544</v>
      </c>
    </row>
    <row r="429" spans="1:10" x14ac:dyDescent="0.25">
      <c r="D429" t="s">
        <v>116</v>
      </c>
      <c r="E429" t="s">
        <v>117</v>
      </c>
      <c r="F429" t="s">
        <v>118</v>
      </c>
    </row>
    <row r="430" spans="1:10" x14ac:dyDescent="0.25">
      <c r="D430" t="s">
        <v>119</v>
      </c>
      <c r="E430" t="s">
        <v>120</v>
      </c>
      <c r="F430" t="s">
        <v>121</v>
      </c>
    </row>
    <row r="431" spans="1:10" x14ac:dyDescent="0.25">
      <c r="A431" t="s">
        <v>122</v>
      </c>
      <c r="B431" t="s">
        <v>123</v>
      </c>
    </row>
    <row r="432" spans="1:10" x14ac:dyDescent="0.25">
      <c r="A432" t="s">
        <v>386</v>
      </c>
    </row>
    <row r="433" spans="1:10" x14ac:dyDescent="0.25">
      <c r="F433" t="s">
        <v>2</v>
      </c>
      <c r="G433" t="s">
        <v>3</v>
      </c>
      <c r="H433" t="s">
        <v>4</v>
      </c>
      <c r="I433" t="s">
        <v>5</v>
      </c>
      <c r="J433" t="s">
        <v>6</v>
      </c>
    </row>
    <row r="434" spans="1:10" x14ac:dyDescent="0.25">
      <c r="C434" t="s">
        <v>7</v>
      </c>
      <c r="D434" t="s">
        <v>8</v>
      </c>
      <c r="E434" t="s">
        <v>9</v>
      </c>
      <c r="F434" t="s">
        <v>10</v>
      </c>
      <c r="G434" t="s">
        <v>124</v>
      </c>
      <c r="H434" t="s">
        <v>12</v>
      </c>
      <c r="I434" t="s">
        <v>13</v>
      </c>
      <c r="J434" t="s">
        <v>14</v>
      </c>
    </row>
    <row r="435" spans="1:10" x14ac:dyDescent="0.25">
      <c r="C435" t="s">
        <v>15</v>
      </c>
      <c r="D435" t="s">
        <v>15</v>
      </c>
      <c r="E435" t="s">
        <v>15</v>
      </c>
      <c r="F435" t="s">
        <v>16</v>
      </c>
      <c r="G435" t="s">
        <v>15</v>
      </c>
      <c r="H435" t="s">
        <v>17</v>
      </c>
      <c r="I435" t="s">
        <v>16</v>
      </c>
      <c r="J435" t="s">
        <v>16</v>
      </c>
    </row>
    <row r="436" spans="1:10" x14ac:dyDescent="0.25">
      <c r="A436" t="s">
        <v>18</v>
      </c>
      <c r="B436" t="s">
        <v>19</v>
      </c>
      <c r="C436" t="s">
        <v>20</v>
      </c>
      <c r="D436" t="s">
        <v>21</v>
      </c>
      <c r="E436" t="s">
        <v>22</v>
      </c>
      <c r="F436" t="s">
        <v>23</v>
      </c>
      <c r="G436" t="s">
        <v>24</v>
      </c>
      <c r="H436" t="s">
        <v>20</v>
      </c>
      <c r="I436" t="s">
        <v>24</v>
      </c>
      <c r="J436" t="s">
        <v>20</v>
      </c>
    </row>
    <row r="438" spans="1:10" x14ac:dyDescent="0.25">
      <c r="A438" t="s">
        <v>442</v>
      </c>
      <c r="B438" t="s">
        <v>443</v>
      </c>
    </row>
    <row r="439" spans="1:10" x14ac:dyDescent="0.25">
      <c r="A439" t="s">
        <v>18</v>
      </c>
      <c r="B439" t="s">
        <v>21</v>
      </c>
    </row>
    <row r="440" spans="1:10" x14ac:dyDescent="0.25">
      <c r="A440" t="s">
        <v>545</v>
      </c>
      <c r="B440" t="s">
        <v>156</v>
      </c>
      <c r="C440">
        <v>40</v>
      </c>
      <c r="D440">
        <v>39</v>
      </c>
      <c r="E440">
        <v>0</v>
      </c>
      <c r="F440">
        <v>500</v>
      </c>
      <c r="G440">
        <v>0</v>
      </c>
      <c r="H440">
        <v>0</v>
      </c>
      <c r="I440" t="s">
        <v>22</v>
      </c>
      <c r="J440" t="s">
        <v>22</v>
      </c>
    </row>
    <row r="441" spans="1:10" x14ac:dyDescent="0.25">
      <c r="A441" t="s">
        <v>546</v>
      </c>
      <c r="B441" t="s">
        <v>547</v>
      </c>
      <c r="C441">
        <v>0</v>
      </c>
      <c r="D441" s="2">
        <v>41679</v>
      </c>
      <c r="E441" s="2">
        <v>31084</v>
      </c>
      <c r="F441" s="2">
        <v>85000</v>
      </c>
      <c r="G441" s="2">
        <v>29947</v>
      </c>
      <c r="H441">
        <v>0</v>
      </c>
      <c r="I441" t="s">
        <v>22</v>
      </c>
      <c r="J441" t="s">
        <v>22</v>
      </c>
    </row>
    <row r="442" spans="1:10" x14ac:dyDescent="0.25">
      <c r="A442" t="s">
        <v>548</v>
      </c>
      <c r="B442" t="s">
        <v>549</v>
      </c>
      <c r="C442">
        <v>0</v>
      </c>
      <c r="D442">
        <v>0</v>
      </c>
      <c r="E442">
        <v>0</v>
      </c>
      <c r="F442" s="2">
        <v>100000</v>
      </c>
      <c r="G442">
        <v>0</v>
      </c>
      <c r="H442">
        <v>0</v>
      </c>
      <c r="I442" t="s">
        <v>22</v>
      </c>
      <c r="J442" t="s">
        <v>22</v>
      </c>
    </row>
    <row r="443" spans="1:10" x14ac:dyDescent="0.25">
      <c r="A443" t="s">
        <v>550</v>
      </c>
      <c r="B443" t="s">
        <v>475</v>
      </c>
      <c r="C443" s="2">
        <v>17977</v>
      </c>
      <c r="D443" s="2">
        <v>1076</v>
      </c>
      <c r="E443">
        <v>0</v>
      </c>
      <c r="F443" s="2">
        <v>2000</v>
      </c>
      <c r="G443">
        <v>0</v>
      </c>
      <c r="H443">
        <v>0</v>
      </c>
      <c r="I443" t="s">
        <v>22</v>
      </c>
      <c r="J443" t="s">
        <v>22</v>
      </c>
    </row>
    <row r="444" spans="1:10" x14ac:dyDescent="0.25">
      <c r="A444" t="s">
        <v>551</v>
      </c>
      <c r="B444" t="s">
        <v>552</v>
      </c>
      <c r="C444" s="2">
        <v>15000</v>
      </c>
      <c r="D444" s="2">
        <v>23500</v>
      </c>
      <c r="E444" s="2">
        <v>33100</v>
      </c>
      <c r="F444" s="2">
        <v>47500</v>
      </c>
      <c r="G444">
        <v>0</v>
      </c>
      <c r="H444">
        <v>0</v>
      </c>
      <c r="I444" t="s">
        <v>22</v>
      </c>
      <c r="J444" t="s">
        <v>22</v>
      </c>
    </row>
    <row r="445" spans="1:10" x14ac:dyDescent="0.25">
      <c r="A445" t="s">
        <v>553</v>
      </c>
      <c r="B445" t="s">
        <v>554</v>
      </c>
      <c r="C445">
        <v>0</v>
      </c>
      <c r="D445">
        <v>190</v>
      </c>
      <c r="E445" s="2">
        <v>2164</v>
      </c>
      <c r="F445" s="2">
        <v>5000</v>
      </c>
      <c r="G445">
        <v>742</v>
      </c>
      <c r="H445">
        <v>0</v>
      </c>
      <c r="I445" t="s">
        <v>22</v>
      </c>
      <c r="J445" t="s">
        <v>22</v>
      </c>
    </row>
    <row r="446" spans="1:10" x14ac:dyDescent="0.25">
      <c r="A446" t="s">
        <v>555</v>
      </c>
      <c r="B446" t="s">
        <v>556</v>
      </c>
      <c r="C446" s="2">
        <v>36710</v>
      </c>
      <c r="D446" s="2">
        <v>40309</v>
      </c>
      <c r="E446" s="2">
        <v>36903</v>
      </c>
      <c r="F446" s="2">
        <v>40000</v>
      </c>
      <c r="G446" s="2">
        <v>50453</v>
      </c>
      <c r="H446">
        <v>0</v>
      </c>
      <c r="I446" t="s">
        <v>22</v>
      </c>
      <c r="J446" t="s">
        <v>22</v>
      </c>
    </row>
    <row r="447" spans="1:10" x14ac:dyDescent="0.25">
      <c r="C447" t="s">
        <v>108</v>
      </c>
      <c r="D447" t="s">
        <v>108</v>
      </c>
      <c r="E447" t="s">
        <v>108</v>
      </c>
      <c r="F447" t="s">
        <v>108</v>
      </c>
      <c r="G447" t="s">
        <v>108</v>
      </c>
    </row>
    <row r="448" spans="1:10" x14ac:dyDescent="0.25">
      <c r="H448" t="s">
        <v>22</v>
      </c>
      <c r="I448" t="s">
        <v>22</v>
      </c>
      <c r="J448" t="s">
        <v>22</v>
      </c>
    </row>
    <row r="449" spans="1:10" x14ac:dyDescent="0.25">
      <c r="A449" t="s">
        <v>109</v>
      </c>
    </row>
    <row r="450" spans="1:10" x14ac:dyDescent="0.25">
      <c r="B450" t="s">
        <v>478</v>
      </c>
      <c r="C450" s="2">
        <v>69728</v>
      </c>
      <c r="D450" s="2">
        <v>106794</v>
      </c>
      <c r="E450" s="2">
        <v>103252</v>
      </c>
      <c r="F450" s="2">
        <v>280000</v>
      </c>
      <c r="G450" s="2">
        <v>81142</v>
      </c>
      <c r="H450">
        <v>0</v>
      </c>
    </row>
    <row r="452" spans="1:10" x14ac:dyDescent="0.25">
      <c r="A452" t="s">
        <v>489</v>
      </c>
    </row>
    <row r="453" spans="1:10" x14ac:dyDescent="0.25">
      <c r="A453" t="s">
        <v>18</v>
      </c>
    </row>
    <row r="454" spans="1:10" x14ac:dyDescent="0.25">
      <c r="A454" t="s">
        <v>557</v>
      </c>
      <c r="B454" t="s">
        <v>558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 t="s">
        <v>22</v>
      </c>
      <c r="J454" t="s">
        <v>22</v>
      </c>
    </row>
    <row r="455" spans="1:10" x14ac:dyDescent="0.25">
      <c r="A455" t="s">
        <v>559</v>
      </c>
      <c r="B455" t="s">
        <v>498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 t="s">
        <v>22</v>
      </c>
      <c r="J455" t="s">
        <v>22</v>
      </c>
    </row>
    <row r="456" spans="1:10" x14ac:dyDescent="0.25">
      <c r="A456" t="s">
        <v>560</v>
      </c>
      <c r="B456" t="s">
        <v>500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 t="s">
        <v>22</v>
      </c>
      <c r="J456" t="s">
        <v>22</v>
      </c>
    </row>
    <row r="457" spans="1:10" x14ac:dyDescent="0.25">
      <c r="C457" t="s">
        <v>108</v>
      </c>
      <c r="D457" t="s">
        <v>108</v>
      </c>
      <c r="E457" t="s">
        <v>108</v>
      </c>
      <c r="F457" t="s">
        <v>108</v>
      </c>
      <c r="G457" t="s">
        <v>108</v>
      </c>
    </row>
    <row r="458" spans="1:10" x14ac:dyDescent="0.25">
      <c r="H458" t="s">
        <v>22</v>
      </c>
      <c r="I458" t="s">
        <v>22</v>
      </c>
      <c r="J458" t="s">
        <v>22</v>
      </c>
    </row>
    <row r="459" spans="1:10" x14ac:dyDescent="0.25">
      <c r="A459" t="s">
        <v>109</v>
      </c>
    </row>
    <row r="460" spans="1:10" x14ac:dyDescent="0.25">
      <c r="B460" t="s">
        <v>489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</row>
    <row r="462" spans="1:10" x14ac:dyDescent="0.25">
      <c r="A462" t="s">
        <v>501</v>
      </c>
    </row>
    <row r="463" spans="1:10" x14ac:dyDescent="0.25">
      <c r="A463" t="s">
        <v>18</v>
      </c>
    </row>
    <row r="464" spans="1:10" x14ac:dyDescent="0.25">
      <c r="A464" t="s">
        <v>561</v>
      </c>
      <c r="B464" t="s">
        <v>503</v>
      </c>
      <c r="C464" s="2">
        <v>37100</v>
      </c>
      <c r="D464" s="2">
        <v>121919</v>
      </c>
      <c r="E464" s="2">
        <v>26146</v>
      </c>
      <c r="F464" s="2">
        <v>316800</v>
      </c>
      <c r="G464" s="2">
        <v>66950</v>
      </c>
      <c r="H464">
        <v>0</v>
      </c>
      <c r="I464" t="s">
        <v>22</v>
      </c>
      <c r="J464" t="s">
        <v>22</v>
      </c>
    </row>
    <row r="465" spans="1:10" x14ac:dyDescent="0.25">
      <c r="A465" t="s">
        <v>562</v>
      </c>
      <c r="B465" t="s">
        <v>509</v>
      </c>
      <c r="C465">
        <v>0</v>
      </c>
      <c r="D465" s="2">
        <v>2898</v>
      </c>
      <c r="E465" s="2">
        <v>237960</v>
      </c>
      <c r="F465" s="2">
        <v>328996</v>
      </c>
      <c r="G465">
        <v>0</v>
      </c>
      <c r="H465">
        <v>0</v>
      </c>
      <c r="I465" t="s">
        <v>22</v>
      </c>
      <c r="J465" t="s">
        <v>22</v>
      </c>
    </row>
    <row r="466" spans="1:10" x14ac:dyDescent="0.25">
      <c r="C466" t="s">
        <v>108</v>
      </c>
      <c r="D466" t="s">
        <v>108</v>
      </c>
      <c r="E466" t="s">
        <v>108</v>
      </c>
      <c r="F466" t="s">
        <v>108</v>
      </c>
      <c r="G466" t="s">
        <v>108</v>
      </c>
    </row>
    <row r="467" spans="1:10" x14ac:dyDescent="0.25">
      <c r="H467" t="s">
        <v>22</v>
      </c>
      <c r="I467" t="s">
        <v>22</v>
      </c>
      <c r="J467" t="s">
        <v>22</v>
      </c>
    </row>
    <row r="468" spans="1:10" x14ac:dyDescent="0.25">
      <c r="A468" t="s">
        <v>109</v>
      </c>
    </row>
    <row r="469" spans="1:10" x14ac:dyDescent="0.25">
      <c r="B469" t="s">
        <v>501</v>
      </c>
      <c r="C469" s="2">
        <v>37100</v>
      </c>
      <c r="D469" s="2">
        <v>124817</v>
      </c>
      <c r="E469" s="2">
        <v>264106</v>
      </c>
      <c r="F469" s="2">
        <v>645796</v>
      </c>
      <c r="G469" s="2">
        <v>66950</v>
      </c>
      <c r="H469">
        <v>0</v>
      </c>
    </row>
    <row r="471" spans="1:10" x14ac:dyDescent="0.25">
      <c r="A471" t="s">
        <v>524</v>
      </c>
      <c r="B471" t="s">
        <v>525</v>
      </c>
    </row>
    <row r="472" spans="1:10" x14ac:dyDescent="0.25">
      <c r="A472" t="s">
        <v>18</v>
      </c>
      <c r="B472" t="s">
        <v>526</v>
      </c>
    </row>
    <row r="473" spans="1:10" x14ac:dyDescent="0.25">
      <c r="A473" t="s">
        <v>563</v>
      </c>
      <c r="B473" t="s">
        <v>564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 t="s">
        <v>22</v>
      </c>
      <c r="J473" t="s">
        <v>22</v>
      </c>
    </row>
    <row r="474" spans="1:10" x14ac:dyDescent="0.25">
      <c r="A474" t="s">
        <v>565</v>
      </c>
      <c r="B474" t="s">
        <v>566</v>
      </c>
      <c r="C474" s="2">
        <v>40425</v>
      </c>
      <c r="D474">
        <v>0</v>
      </c>
      <c r="E474">
        <v>0</v>
      </c>
      <c r="F474">
        <v>0</v>
      </c>
      <c r="G474">
        <v>0</v>
      </c>
      <c r="H474">
        <v>0</v>
      </c>
      <c r="I474" t="s">
        <v>22</v>
      </c>
      <c r="J474" t="s">
        <v>22</v>
      </c>
    </row>
    <row r="475" spans="1:10" x14ac:dyDescent="0.25">
      <c r="C475" t="s">
        <v>108</v>
      </c>
      <c r="D475" t="s">
        <v>108</v>
      </c>
      <c r="E475" t="s">
        <v>108</v>
      </c>
      <c r="F475" t="s">
        <v>108</v>
      </c>
      <c r="G475" t="s">
        <v>108</v>
      </c>
    </row>
    <row r="476" spans="1:10" x14ac:dyDescent="0.25">
      <c r="H476" t="s">
        <v>22</v>
      </c>
      <c r="I476" t="s">
        <v>22</v>
      </c>
      <c r="J476" t="s">
        <v>22</v>
      </c>
    </row>
    <row r="477" spans="1:10" x14ac:dyDescent="0.25">
      <c r="A477" t="s">
        <v>109</v>
      </c>
    </row>
    <row r="478" spans="1:10" x14ac:dyDescent="0.25">
      <c r="B478" t="s">
        <v>530</v>
      </c>
      <c r="C478" s="2">
        <v>40425</v>
      </c>
      <c r="D478">
        <v>0</v>
      </c>
      <c r="E478">
        <v>0</v>
      </c>
      <c r="F478">
        <v>0</v>
      </c>
      <c r="G478">
        <v>0</v>
      </c>
      <c r="H478">
        <v>0</v>
      </c>
    </row>
    <row r="479" spans="1:10" x14ac:dyDescent="0.25">
      <c r="A479" t="s">
        <v>18</v>
      </c>
      <c r="B479" t="s">
        <v>19</v>
      </c>
      <c r="C479" t="s">
        <v>20</v>
      </c>
      <c r="D479" t="s">
        <v>21</v>
      </c>
      <c r="E479" t="s">
        <v>26</v>
      </c>
    </row>
    <row r="480" spans="1:10" x14ac:dyDescent="0.25">
      <c r="E480" t="s">
        <v>339</v>
      </c>
      <c r="F480" t="s">
        <v>23</v>
      </c>
      <c r="G480" t="s">
        <v>24</v>
      </c>
      <c r="H480" t="s">
        <v>20</v>
      </c>
      <c r="I480" t="s">
        <v>24</v>
      </c>
      <c r="J480" t="s">
        <v>20</v>
      </c>
    </row>
    <row r="481" spans="1:10" x14ac:dyDescent="0.25">
      <c r="A481" t="s">
        <v>109</v>
      </c>
    </row>
    <row r="482" spans="1:10" x14ac:dyDescent="0.25">
      <c r="A482">
        <v>11</v>
      </c>
      <c r="B482" t="e">
        <f>-NON DEPARTMENTAL</f>
        <v>#NAME?</v>
      </c>
      <c r="C482" s="2">
        <v>148852</v>
      </c>
      <c r="D482" s="2">
        <v>231611</v>
      </c>
      <c r="E482" s="2">
        <v>367358</v>
      </c>
      <c r="F482" s="2">
        <v>925796</v>
      </c>
      <c r="G482" s="2">
        <v>148092</v>
      </c>
      <c r="H482">
        <v>0</v>
      </c>
    </row>
    <row r="484" spans="1:10" x14ac:dyDescent="0.25">
      <c r="A484" t="s">
        <v>153</v>
      </c>
      <c r="B484" t="s">
        <v>154</v>
      </c>
    </row>
    <row r="485" spans="1:10" x14ac:dyDescent="0.25">
      <c r="A485" t="s">
        <v>389</v>
      </c>
      <c r="B485" t="s">
        <v>567</v>
      </c>
    </row>
    <row r="487" spans="1:10" x14ac:dyDescent="0.25">
      <c r="A487" t="s">
        <v>391</v>
      </c>
      <c r="B487" t="s">
        <v>392</v>
      </c>
    </row>
    <row r="488" spans="1:10" x14ac:dyDescent="0.25">
      <c r="A488" t="s">
        <v>18</v>
      </c>
      <c r="B488" t="s">
        <v>228</v>
      </c>
    </row>
    <row r="489" spans="1:10" x14ac:dyDescent="0.25">
      <c r="A489" t="s">
        <v>568</v>
      </c>
      <c r="B489" t="s">
        <v>569</v>
      </c>
      <c r="C489" s="2">
        <v>6698</v>
      </c>
      <c r="D489" s="2">
        <v>2142</v>
      </c>
      <c r="E489">
        <v>0</v>
      </c>
      <c r="F489">
        <v>0</v>
      </c>
      <c r="G489">
        <v>0</v>
      </c>
      <c r="H489">
        <v>0</v>
      </c>
      <c r="I489" t="s">
        <v>22</v>
      </c>
      <c r="J489" t="s">
        <v>22</v>
      </c>
    </row>
    <row r="490" spans="1:10" x14ac:dyDescent="0.25">
      <c r="A490" t="s">
        <v>570</v>
      </c>
      <c r="B490" t="s">
        <v>396</v>
      </c>
      <c r="C490">
        <v>324</v>
      </c>
      <c r="D490">
        <v>72</v>
      </c>
      <c r="E490">
        <v>689</v>
      </c>
      <c r="F490" s="2">
        <v>2016</v>
      </c>
      <c r="G490">
        <v>63</v>
      </c>
      <c r="H490">
        <v>0</v>
      </c>
      <c r="I490" t="s">
        <v>22</v>
      </c>
      <c r="J490" t="s">
        <v>22</v>
      </c>
    </row>
    <row r="491" spans="1:10" x14ac:dyDescent="0.25">
      <c r="A491" t="s">
        <v>571</v>
      </c>
      <c r="B491" t="s">
        <v>398</v>
      </c>
      <c r="C491" s="2">
        <v>34444</v>
      </c>
      <c r="D491" s="2">
        <v>39329</v>
      </c>
      <c r="E491" s="2">
        <v>29829</v>
      </c>
      <c r="F491" s="2">
        <v>44087</v>
      </c>
      <c r="G491" s="2">
        <v>14479</v>
      </c>
      <c r="H491">
        <v>0</v>
      </c>
      <c r="I491" t="s">
        <v>22</v>
      </c>
      <c r="J491" t="s">
        <v>22</v>
      </c>
    </row>
    <row r="492" spans="1:10" x14ac:dyDescent="0.25">
      <c r="A492" t="s">
        <v>572</v>
      </c>
      <c r="B492" t="s">
        <v>400</v>
      </c>
      <c r="C492" s="2">
        <v>37039</v>
      </c>
      <c r="D492" s="2">
        <v>42730</v>
      </c>
      <c r="E492" s="2">
        <v>34558</v>
      </c>
      <c r="F492" s="2">
        <v>54690</v>
      </c>
      <c r="G492" s="2">
        <v>15733</v>
      </c>
      <c r="H492">
        <v>0</v>
      </c>
      <c r="I492" t="s">
        <v>22</v>
      </c>
      <c r="J492" t="s">
        <v>22</v>
      </c>
    </row>
    <row r="493" spans="1:10" x14ac:dyDescent="0.25">
      <c r="A493" t="s">
        <v>573</v>
      </c>
      <c r="B493" t="s">
        <v>574</v>
      </c>
      <c r="C493" s="2">
        <v>81759</v>
      </c>
      <c r="D493" s="2">
        <v>86144</v>
      </c>
      <c r="E493" s="2">
        <v>60518</v>
      </c>
      <c r="F493" s="2">
        <v>128233</v>
      </c>
      <c r="G493" s="2">
        <v>27581</v>
      </c>
      <c r="H493">
        <v>0</v>
      </c>
      <c r="I493" t="s">
        <v>22</v>
      </c>
      <c r="J493" t="s">
        <v>22</v>
      </c>
    </row>
    <row r="494" spans="1:10" x14ac:dyDescent="0.25">
      <c r="A494" t="s">
        <v>575</v>
      </c>
      <c r="B494" t="s">
        <v>404</v>
      </c>
      <c r="C494" s="2">
        <v>5087</v>
      </c>
      <c r="D494" s="2">
        <v>5411</v>
      </c>
      <c r="E494" s="2">
        <v>3764</v>
      </c>
      <c r="F494" s="2">
        <v>5232</v>
      </c>
      <c r="G494" s="2">
        <v>1539</v>
      </c>
      <c r="H494">
        <v>0</v>
      </c>
      <c r="I494" t="s">
        <v>22</v>
      </c>
      <c r="J494" t="s">
        <v>22</v>
      </c>
    </row>
    <row r="495" spans="1:10" x14ac:dyDescent="0.25">
      <c r="A495" t="s">
        <v>576</v>
      </c>
      <c r="B495" t="s">
        <v>406</v>
      </c>
      <c r="C495" s="2">
        <v>1162</v>
      </c>
      <c r="D495" s="2">
        <v>8982</v>
      </c>
      <c r="E495" s="2">
        <v>1935</v>
      </c>
      <c r="F495" s="2">
        <v>2128</v>
      </c>
      <c r="G495" s="2">
        <v>2322</v>
      </c>
      <c r="H495">
        <v>0</v>
      </c>
      <c r="I495" t="s">
        <v>22</v>
      </c>
      <c r="J495" t="s">
        <v>22</v>
      </c>
    </row>
    <row r="496" spans="1:10" x14ac:dyDescent="0.25">
      <c r="A496" t="s">
        <v>577</v>
      </c>
      <c r="B496" t="s">
        <v>578</v>
      </c>
      <c r="C496" s="2">
        <v>92431</v>
      </c>
      <c r="D496" s="2">
        <v>111220</v>
      </c>
      <c r="E496" s="2">
        <v>116005</v>
      </c>
      <c r="F496" s="2">
        <v>117565</v>
      </c>
      <c r="G496" s="2">
        <v>31692</v>
      </c>
      <c r="H496">
        <v>0</v>
      </c>
      <c r="I496" t="s">
        <v>22</v>
      </c>
      <c r="J496" t="s">
        <v>22</v>
      </c>
    </row>
    <row r="497" spans="1:10" x14ac:dyDescent="0.25">
      <c r="A497" t="s">
        <v>579</v>
      </c>
      <c r="B497" t="s">
        <v>580</v>
      </c>
      <c r="C497" s="2">
        <v>49220</v>
      </c>
      <c r="D497" s="2">
        <v>52538</v>
      </c>
      <c r="E497" s="2">
        <v>56295</v>
      </c>
      <c r="F497" s="2">
        <v>61918</v>
      </c>
      <c r="G497" s="2">
        <v>42634</v>
      </c>
      <c r="H497">
        <v>0</v>
      </c>
      <c r="I497" t="s">
        <v>22</v>
      </c>
      <c r="J497" t="s">
        <v>22</v>
      </c>
    </row>
    <row r="498" spans="1:10" x14ac:dyDescent="0.25">
      <c r="A498" t="s">
        <v>581</v>
      </c>
      <c r="B498" t="s">
        <v>582</v>
      </c>
      <c r="C498">
        <v>0</v>
      </c>
      <c r="D498">
        <v>0</v>
      </c>
      <c r="E498" s="2">
        <v>19846</v>
      </c>
      <c r="F498" s="2">
        <v>90300</v>
      </c>
      <c r="G498" s="2">
        <v>18422</v>
      </c>
      <c r="H498">
        <v>0</v>
      </c>
      <c r="I498" t="s">
        <v>22</v>
      </c>
      <c r="J498" t="s">
        <v>22</v>
      </c>
    </row>
    <row r="499" spans="1:10" x14ac:dyDescent="0.25">
      <c r="A499" t="s">
        <v>583</v>
      </c>
      <c r="B499" t="s">
        <v>584</v>
      </c>
      <c r="C499" s="2">
        <v>79104</v>
      </c>
      <c r="D499" s="2">
        <v>83771</v>
      </c>
      <c r="E499" s="2">
        <v>57859</v>
      </c>
      <c r="F499" s="2">
        <v>83341</v>
      </c>
      <c r="G499" s="2">
        <v>57708</v>
      </c>
      <c r="H499">
        <v>0</v>
      </c>
      <c r="I499" t="s">
        <v>22</v>
      </c>
      <c r="J499" t="s">
        <v>22</v>
      </c>
    </row>
    <row r="500" spans="1:10" x14ac:dyDescent="0.25">
      <c r="A500" t="s">
        <v>585</v>
      </c>
      <c r="B500" t="s">
        <v>586</v>
      </c>
      <c r="C500" s="2">
        <v>110850</v>
      </c>
      <c r="D500" s="2">
        <v>118135</v>
      </c>
      <c r="E500" s="2">
        <v>55579</v>
      </c>
      <c r="F500" s="2">
        <v>116323</v>
      </c>
      <c r="G500">
        <v>0</v>
      </c>
      <c r="H500">
        <v>0</v>
      </c>
      <c r="I500" t="s">
        <v>22</v>
      </c>
      <c r="J500" t="s">
        <v>22</v>
      </c>
    </row>
    <row r="501" spans="1:10" x14ac:dyDescent="0.25">
      <c r="A501" t="s">
        <v>587</v>
      </c>
      <c r="B501" t="s">
        <v>588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 t="s">
        <v>22</v>
      </c>
      <c r="J501" t="s">
        <v>22</v>
      </c>
    </row>
    <row r="502" spans="1:10" x14ac:dyDescent="0.25">
      <c r="A502" t="s">
        <v>589</v>
      </c>
      <c r="B502" t="s">
        <v>590</v>
      </c>
      <c r="C502" s="2">
        <v>27322</v>
      </c>
      <c r="D502" s="2">
        <v>49028</v>
      </c>
      <c r="E502" s="2">
        <v>49140</v>
      </c>
      <c r="F502" s="2">
        <v>51597</v>
      </c>
      <c r="G502" s="2">
        <v>27407</v>
      </c>
      <c r="H502">
        <v>0</v>
      </c>
      <c r="I502" t="s">
        <v>22</v>
      </c>
      <c r="J502" t="s">
        <v>22</v>
      </c>
    </row>
    <row r="503" spans="1:10" x14ac:dyDescent="0.25">
      <c r="A503" t="s">
        <v>591</v>
      </c>
      <c r="B503" t="s">
        <v>592</v>
      </c>
      <c r="C503" s="2">
        <v>45131</v>
      </c>
      <c r="D503" s="2">
        <v>49042</v>
      </c>
      <c r="E503" s="2">
        <v>2053</v>
      </c>
      <c r="F503">
        <v>0</v>
      </c>
      <c r="G503">
        <v>0</v>
      </c>
      <c r="H503">
        <v>0</v>
      </c>
      <c r="I503" t="s">
        <v>22</v>
      </c>
      <c r="J503" t="s">
        <v>22</v>
      </c>
    </row>
    <row r="504" spans="1:10" x14ac:dyDescent="0.25">
      <c r="A504" t="s">
        <v>593</v>
      </c>
      <c r="B504" t="s">
        <v>422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 t="s">
        <v>22</v>
      </c>
      <c r="J504" t="s">
        <v>22</v>
      </c>
    </row>
    <row r="505" spans="1:10" x14ac:dyDescent="0.25">
      <c r="A505" t="s">
        <v>594</v>
      </c>
      <c r="B505" t="s">
        <v>424</v>
      </c>
      <c r="C505">
        <v>796</v>
      </c>
      <c r="D505" s="2">
        <v>1073</v>
      </c>
      <c r="E505">
        <v>969</v>
      </c>
      <c r="F505">
        <v>855</v>
      </c>
      <c r="G505">
        <v>415</v>
      </c>
      <c r="H505">
        <v>0</v>
      </c>
      <c r="I505" t="s">
        <v>22</v>
      </c>
      <c r="J505" t="s">
        <v>22</v>
      </c>
    </row>
    <row r="506" spans="1:10" x14ac:dyDescent="0.25">
      <c r="A506" t="s">
        <v>110</v>
      </c>
    </row>
    <row r="507" spans="1:10" x14ac:dyDescent="0.25">
      <c r="A507" s="1">
        <v>43991</v>
      </c>
      <c r="B507" t="s">
        <v>111</v>
      </c>
      <c r="D507" t="s">
        <v>112</v>
      </c>
      <c r="E507" t="s">
        <v>113</v>
      </c>
      <c r="F507" t="s">
        <v>114</v>
      </c>
      <c r="J507" t="s">
        <v>595</v>
      </c>
    </row>
    <row r="508" spans="1:10" x14ac:dyDescent="0.25">
      <c r="D508" t="s">
        <v>116</v>
      </c>
      <c r="E508" t="s">
        <v>117</v>
      </c>
      <c r="F508" t="s">
        <v>118</v>
      </c>
    </row>
    <row r="509" spans="1:10" x14ac:dyDescent="0.25">
      <c r="D509" t="s">
        <v>119</v>
      </c>
      <c r="E509" t="s">
        <v>120</v>
      </c>
      <c r="F509" t="s">
        <v>121</v>
      </c>
    </row>
    <row r="510" spans="1:10" x14ac:dyDescent="0.25">
      <c r="A510" t="s">
        <v>122</v>
      </c>
      <c r="B510" t="s">
        <v>123</v>
      </c>
    </row>
    <row r="511" spans="1:10" x14ac:dyDescent="0.25">
      <c r="A511" t="s">
        <v>386</v>
      </c>
    </row>
    <row r="512" spans="1:10" x14ac:dyDescent="0.25">
      <c r="F512" t="s">
        <v>2</v>
      </c>
      <c r="G512" t="s">
        <v>3</v>
      </c>
      <c r="H512" t="s">
        <v>4</v>
      </c>
      <c r="I512" t="s">
        <v>5</v>
      </c>
      <c r="J512" t="s">
        <v>6</v>
      </c>
    </row>
    <row r="513" spans="1:10" x14ac:dyDescent="0.25">
      <c r="C513" t="s">
        <v>7</v>
      </c>
      <c r="D513" t="s">
        <v>8</v>
      </c>
      <c r="E513" t="s">
        <v>9</v>
      </c>
      <c r="F513" t="s">
        <v>10</v>
      </c>
      <c r="G513" t="s">
        <v>124</v>
      </c>
      <c r="H513" t="s">
        <v>12</v>
      </c>
      <c r="I513" t="s">
        <v>13</v>
      </c>
      <c r="J513" t="s">
        <v>14</v>
      </c>
    </row>
    <row r="514" spans="1:10" x14ac:dyDescent="0.25">
      <c r="C514" t="s">
        <v>15</v>
      </c>
      <c r="D514" t="s">
        <v>15</v>
      </c>
      <c r="E514" t="s">
        <v>15</v>
      </c>
      <c r="F514" t="s">
        <v>16</v>
      </c>
      <c r="G514" t="s">
        <v>15</v>
      </c>
      <c r="H514" t="s">
        <v>17</v>
      </c>
      <c r="I514" t="s">
        <v>16</v>
      </c>
      <c r="J514" t="s">
        <v>16</v>
      </c>
    </row>
    <row r="515" spans="1:10" x14ac:dyDescent="0.25">
      <c r="A515" t="s">
        <v>18</v>
      </c>
      <c r="B515" t="s">
        <v>19</v>
      </c>
      <c r="C515" t="s">
        <v>20</v>
      </c>
      <c r="D515" t="s">
        <v>21</v>
      </c>
      <c r="E515" t="s">
        <v>22</v>
      </c>
      <c r="F515" t="s">
        <v>23</v>
      </c>
      <c r="G515" t="s">
        <v>24</v>
      </c>
      <c r="H515" t="s">
        <v>20</v>
      </c>
      <c r="I515" t="s">
        <v>24</v>
      </c>
      <c r="J515" t="s">
        <v>20</v>
      </c>
    </row>
    <row r="516" spans="1:10" x14ac:dyDescent="0.25">
      <c r="A516" t="s">
        <v>596</v>
      </c>
      <c r="B516" t="s">
        <v>426</v>
      </c>
      <c r="C516" s="2">
        <v>2429</v>
      </c>
      <c r="D516" s="2">
        <v>3239</v>
      </c>
      <c r="E516" s="2">
        <v>2429</v>
      </c>
      <c r="F516" s="2">
        <v>2834</v>
      </c>
      <c r="G516" s="2">
        <v>1246</v>
      </c>
      <c r="H516">
        <v>0</v>
      </c>
      <c r="I516" t="s">
        <v>22</v>
      </c>
      <c r="J516" t="s">
        <v>22</v>
      </c>
    </row>
    <row r="517" spans="1:10" x14ac:dyDescent="0.25">
      <c r="A517" t="s">
        <v>597</v>
      </c>
      <c r="B517" t="s">
        <v>598</v>
      </c>
      <c r="C517">
        <v>720</v>
      </c>
      <c r="D517">
        <v>720</v>
      </c>
      <c r="E517">
        <v>0</v>
      </c>
      <c r="F517">
        <v>360</v>
      </c>
      <c r="G517">
        <v>0</v>
      </c>
      <c r="H517">
        <v>0</v>
      </c>
      <c r="I517" t="s">
        <v>22</v>
      </c>
      <c r="J517" t="s">
        <v>22</v>
      </c>
    </row>
    <row r="518" spans="1:10" x14ac:dyDescent="0.25">
      <c r="A518" t="s">
        <v>599</v>
      </c>
      <c r="B518" t="s">
        <v>428</v>
      </c>
      <c r="C518" s="2">
        <v>2400</v>
      </c>
      <c r="D518" s="2">
        <v>2215</v>
      </c>
      <c r="E518" s="2">
        <v>1154</v>
      </c>
      <c r="F518" s="2">
        <v>1200</v>
      </c>
      <c r="G518">
        <v>600</v>
      </c>
      <c r="H518">
        <v>0</v>
      </c>
      <c r="I518" t="s">
        <v>22</v>
      </c>
      <c r="J518" t="s">
        <v>22</v>
      </c>
    </row>
    <row r="519" spans="1:10" x14ac:dyDescent="0.25">
      <c r="A519" t="s">
        <v>600</v>
      </c>
      <c r="B519" t="s">
        <v>430</v>
      </c>
      <c r="C519">
        <v>242</v>
      </c>
      <c r="D519">
        <v>277</v>
      </c>
      <c r="E519">
        <v>242</v>
      </c>
      <c r="F519">
        <v>277</v>
      </c>
      <c r="G519">
        <v>104</v>
      </c>
      <c r="H519">
        <v>0</v>
      </c>
      <c r="I519" t="s">
        <v>22</v>
      </c>
      <c r="J519" t="s">
        <v>22</v>
      </c>
    </row>
    <row r="520" spans="1:10" x14ac:dyDescent="0.25">
      <c r="A520" t="s">
        <v>601</v>
      </c>
      <c r="B520" t="s">
        <v>602</v>
      </c>
      <c r="C520">
        <v>0</v>
      </c>
      <c r="D520">
        <v>0</v>
      </c>
      <c r="E520">
        <v>0</v>
      </c>
      <c r="F520">
        <v>0</v>
      </c>
      <c r="G520" s="2">
        <v>9494</v>
      </c>
      <c r="H520">
        <v>0</v>
      </c>
      <c r="I520" t="s">
        <v>22</v>
      </c>
      <c r="J520" t="s">
        <v>22</v>
      </c>
    </row>
    <row r="521" spans="1:10" x14ac:dyDescent="0.25">
      <c r="A521" t="s">
        <v>603</v>
      </c>
      <c r="B521" t="s">
        <v>432</v>
      </c>
      <c r="C521">
        <v>0</v>
      </c>
      <c r="D521">
        <v>0</v>
      </c>
      <c r="E521">
        <v>0</v>
      </c>
      <c r="F521">
        <v>0</v>
      </c>
      <c r="G521">
        <v>56</v>
      </c>
      <c r="H521">
        <v>0</v>
      </c>
      <c r="I521" t="s">
        <v>22</v>
      </c>
      <c r="J521" t="s">
        <v>22</v>
      </c>
    </row>
    <row r="522" spans="1:10" x14ac:dyDescent="0.25">
      <c r="A522" t="s">
        <v>604</v>
      </c>
      <c r="B522" t="s">
        <v>434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 t="s">
        <v>22</v>
      </c>
      <c r="J522" t="s">
        <v>22</v>
      </c>
    </row>
    <row r="523" spans="1:10" x14ac:dyDescent="0.25">
      <c r="A523" t="s">
        <v>605</v>
      </c>
      <c r="B523" t="s">
        <v>436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 t="s">
        <v>22</v>
      </c>
      <c r="J523" t="s">
        <v>22</v>
      </c>
    </row>
    <row r="524" spans="1:10" x14ac:dyDescent="0.25">
      <c r="A524" t="s">
        <v>606</v>
      </c>
      <c r="B524" t="s">
        <v>607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 t="s">
        <v>22</v>
      </c>
      <c r="J524" t="s">
        <v>22</v>
      </c>
    </row>
    <row r="525" spans="1:10" x14ac:dyDescent="0.25">
      <c r="A525" t="s">
        <v>608</v>
      </c>
      <c r="B525" t="s">
        <v>609</v>
      </c>
      <c r="C525" s="2">
        <v>44576</v>
      </c>
      <c r="D525" s="2">
        <v>46856</v>
      </c>
      <c r="E525" s="2">
        <v>31366</v>
      </c>
      <c r="F525" s="2">
        <v>49293</v>
      </c>
      <c r="G525">
        <v>0</v>
      </c>
      <c r="H525">
        <v>0</v>
      </c>
      <c r="I525" t="s">
        <v>22</v>
      </c>
      <c r="J525" t="s">
        <v>22</v>
      </c>
    </row>
    <row r="526" spans="1:10" x14ac:dyDescent="0.25">
      <c r="A526" t="s">
        <v>610</v>
      </c>
      <c r="B526" t="s">
        <v>611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 t="s">
        <v>22</v>
      </c>
      <c r="J526" t="s">
        <v>22</v>
      </c>
    </row>
    <row r="527" spans="1:10" x14ac:dyDescent="0.25">
      <c r="C527" t="s">
        <v>108</v>
      </c>
      <c r="D527" t="s">
        <v>108</v>
      </c>
      <c r="E527" t="s">
        <v>108</v>
      </c>
      <c r="F527" t="s">
        <v>108</v>
      </c>
      <c r="G527" t="s">
        <v>108</v>
      </c>
    </row>
    <row r="528" spans="1:10" x14ac:dyDescent="0.25">
      <c r="H528" t="s">
        <v>22</v>
      </c>
      <c r="I528" t="s">
        <v>22</v>
      </c>
      <c r="J528" t="s">
        <v>22</v>
      </c>
    </row>
    <row r="529" spans="1:10" x14ac:dyDescent="0.25">
      <c r="A529" t="s">
        <v>109</v>
      </c>
    </row>
    <row r="530" spans="1:10" x14ac:dyDescent="0.25">
      <c r="B530" t="s">
        <v>441</v>
      </c>
      <c r="C530" s="2">
        <v>621734</v>
      </c>
      <c r="D530" s="2">
        <v>702924</v>
      </c>
      <c r="E530" s="2">
        <v>524230</v>
      </c>
      <c r="F530" s="2">
        <v>812249</v>
      </c>
      <c r="G530" s="2">
        <v>251493</v>
      </c>
      <c r="H530">
        <v>0</v>
      </c>
    </row>
    <row r="532" spans="1:10" x14ac:dyDescent="0.25">
      <c r="A532" t="s">
        <v>442</v>
      </c>
      <c r="B532" t="s">
        <v>443</v>
      </c>
    </row>
    <row r="533" spans="1:10" x14ac:dyDescent="0.25">
      <c r="A533" t="s">
        <v>18</v>
      </c>
      <c r="B533" t="s">
        <v>21</v>
      </c>
    </row>
    <row r="534" spans="1:10" x14ac:dyDescent="0.25">
      <c r="A534" t="s">
        <v>612</v>
      </c>
      <c r="B534" t="s">
        <v>445</v>
      </c>
      <c r="C534" s="2">
        <v>1210</v>
      </c>
      <c r="D534" s="2">
        <v>2471</v>
      </c>
      <c r="E534" s="2">
        <v>3717</v>
      </c>
      <c r="F534" s="2">
        <v>4089</v>
      </c>
      <c r="G534" s="2">
        <v>1946</v>
      </c>
      <c r="H534">
        <v>0</v>
      </c>
      <c r="I534" t="s">
        <v>22</v>
      </c>
      <c r="J534" t="s">
        <v>22</v>
      </c>
    </row>
    <row r="535" spans="1:10" x14ac:dyDescent="0.25">
      <c r="A535" t="s">
        <v>613</v>
      </c>
      <c r="B535" t="s">
        <v>447</v>
      </c>
      <c r="C535" s="2">
        <v>1270</v>
      </c>
      <c r="D535" s="2">
        <v>1019</v>
      </c>
      <c r="E535" s="2">
        <v>1043</v>
      </c>
      <c r="F535" s="2">
        <v>3000</v>
      </c>
      <c r="G535">
        <v>599</v>
      </c>
      <c r="H535">
        <v>0</v>
      </c>
      <c r="I535" t="s">
        <v>22</v>
      </c>
      <c r="J535" t="s">
        <v>22</v>
      </c>
    </row>
    <row r="536" spans="1:10" x14ac:dyDescent="0.25">
      <c r="A536" t="s">
        <v>614</v>
      </c>
      <c r="B536" t="s">
        <v>449</v>
      </c>
      <c r="C536">
        <v>535</v>
      </c>
      <c r="D536">
        <v>277</v>
      </c>
      <c r="E536" s="2">
        <v>2585</v>
      </c>
      <c r="F536" s="2">
        <v>4500</v>
      </c>
      <c r="G536">
        <v>0</v>
      </c>
      <c r="H536">
        <v>0</v>
      </c>
      <c r="I536" t="s">
        <v>22</v>
      </c>
      <c r="J536" t="s">
        <v>22</v>
      </c>
    </row>
    <row r="537" spans="1:10" x14ac:dyDescent="0.25">
      <c r="A537" t="s">
        <v>615</v>
      </c>
      <c r="B537" t="s">
        <v>451</v>
      </c>
      <c r="C537" s="2">
        <v>1780</v>
      </c>
      <c r="D537" s="2">
        <v>2068</v>
      </c>
      <c r="E537" s="2">
        <v>1685</v>
      </c>
      <c r="F537" s="2">
        <v>4500</v>
      </c>
      <c r="G537">
        <v>252</v>
      </c>
      <c r="H537">
        <v>0</v>
      </c>
      <c r="I537" t="s">
        <v>22</v>
      </c>
      <c r="J537" t="s">
        <v>22</v>
      </c>
    </row>
    <row r="538" spans="1:10" x14ac:dyDescent="0.25">
      <c r="A538" t="s">
        <v>616</v>
      </c>
      <c r="B538" t="s">
        <v>457</v>
      </c>
      <c r="C538" s="2">
        <v>1249</v>
      </c>
      <c r="D538" s="2">
        <v>2204</v>
      </c>
      <c r="E538" s="2">
        <v>1114</v>
      </c>
      <c r="F538" s="2">
        <v>3000</v>
      </c>
      <c r="G538" s="2">
        <v>1148</v>
      </c>
      <c r="H538">
        <v>0</v>
      </c>
      <c r="I538" t="s">
        <v>22</v>
      </c>
      <c r="J538" t="s">
        <v>22</v>
      </c>
    </row>
    <row r="539" spans="1:10" x14ac:dyDescent="0.25">
      <c r="A539" t="s">
        <v>617</v>
      </c>
      <c r="B539" t="s">
        <v>459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 t="s">
        <v>22</v>
      </c>
      <c r="J539" t="s">
        <v>22</v>
      </c>
    </row>
    <row r="540" spans="1:10" x14ac:dyDescent="0.25">
      <c r="A540" t="s">
        <v>618</v>
      </c>
      <c r="B540" t="s">
        <v>619</v>
      </c>
      <c r="C540" s="2">
        <v>57055</v>
      </c>
      <c r="D540" s="2">
        <v>68055</v>
      </c>
      <c r="E540" s="2">
        <v>79220</v>
      </c>
      <c r="F540" s="2">
        <v>65000</v>
      </c>
      <c r="G540" s="2">
        <v>123268</v>
      </c>
      <c r="H540">
        <v>0</v>
      </c>
      <c r="I540" t="s">
        <v>22</v>
      </c>
      <c r="J540" t="s">
        <v>22</v>
      </c>
    </row>
    <row r="541" spans="1:10" x14ac:dyDescent="0.25">
      <c r="A541" t="s">
        <v>620</v>
      </c>
      <c r="B541" t="s">
        <v>461</v>
      </c>
      <c r="C541" s="2">
        <v>4502</v>
      </c>
      <c r="D541" s="2">
        <v>4162</v>
      </c>
      <c r="E541" s="2">
        <v>3601</v>
      </c>
      <c r="F541" s="2">
        <v>7000</v>
      </c>
      <c r="G541" s="2">
        <v>1663</v>
      </c>
      <c r="H541">
        <v>0</v>
      </c>
      <c r="I541" t="s">
        <v>22</v>
      </c>
      <c r="J541" t="s">
        <v>22</v>
      </c>
    </row>
    <row r="542" spans="1:10" x14ac:dyDescent="0.25">
      <c r="A542" t="s">
        <v>621</v>
      </c>
      <c r="B542" t="s">
        <v>465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 t="s">
        <v>22</v>
      </c>
      <c r="J542" t="s">
        <v>22</v>
      </c>
    </row>
    <row r="543" spans="1:10" x14ac:dyDescent="0.25">
      <c r="A543" t="s">
        <v>622</v>
      </c>
      <c r="B543" t="s">
        <v>156</v>
      </c>
      <c r="C543" s="2">
        <v>32073</v>
      </c>
      <c r="D543" s="2">
        <v>30132</v>
      </c>
      <c r="E543" s="2">
        <v>25471</v>
      </c>
      <c r="F543" s="2">
        <v>35000</v>
      </c>
      <c r="G543" s="2">
        <v>14085</v>
      </c>
      <c r="H543">
        <v>0</v>
      </c>
      <c r="I543" t="s">
        <v>22</v>
      </c>
      <c r="J543" t="s">
        <v>22</v>
      </c>
    </row>
    <row r="544" spans="1:10" x14ac:dyDescent="0.25">
      <c r="A544" t="s">
        <v>623</v>
      </c>
      <c r="B544" t="s">
        <v>471</v>
      </c>
      <c r="C544" s="2">
        <v>1046</v>
      </c>
      <c r="D544" s="2">
        <v>1089</v>
      </c>
      <c r="E544" s="2">
        <v>1254</v>
      </c>
      <c r="F544" s="2">
        <v>1750</v>
      </c>
      <c r="G544" s="2">
        <v>1108</v>
      </c>
      <c r="H544">
        <v>0</v>
      </c>
      <c r="I544" t="s">
        <v>22</v>
      </c>
      <c r="J544" t="s">
        <v>22</v>
      </c>
    </row>
    <row r="545" spans="1:10" x14ac:dyDescent="0.25">
      <c r="A545" t="s">
        <v>624</v>
      </c>
      <c r="B545" t="s">
        <v>473</v>
      </c>
      <c r="C545">
        <v>38</v>
      </c>
      <c r="D545">
        <v>141</v>
      </c>
      <c r="E545">
        <v>0</v>
      </c>
      <c r="F545">
        <v>300</v>
      </c>
      <c r="G545">
        <v>0</v>
      </c>
      <c r="H545">
        <v>0</v>
      </c>
      <c r="I545" t="s">
        <v>22</v>
      </c>
      <c r="J545" t="s">
        <v>22</v>
      </c>
    </row>
    <row r="546" spans="1:10" x14ac:dyDescent="0.25">
      <c r="A546" t="s">
        <v>625</v>
      </c>
      <c r="B546" t="s">
        <v>626</v>
      </c>
      <c r="C546">
        <v>980</v>
      </c>
      <c r="D546" s="2">
        <v>3216</v>
      </c>
      <c r="E546">
        <v>380</v>
      </c>
      <c r="F546" s="2">
        <v>4000</v>
      </c>
      <c r="G546" s="2">
        <v>1550</v>
      </c>
      <c r="H546">
        <v>0</v>
      </c>
      <c r="I546" t="s">
        <v>22</v>
      </c>
      <c r="J546" t="s">
        <v>22</v>
      </c>
    </row>
    <row r="547" spans="1:10" x14ac:dyDescent="0.25">
      <c r="A547" t="s">
        <v>627</v>
      </c>
      <c r="B547" t="s">
        <v>475</v>
      </c>
      <c r="C547" s="2">
        <v>5016</v>
      </c>
      <c r="D547" s="2">
        <v>19476</v>
      </c>
      <c r="E547" s="2">
        <v>1898</v>
      </c>
      <c r="F547" s="2">
        <v>5000</v>
      </c>
      <c r="G547">
        <v>883</v>
      </c>
      <c r="H547">
        <v>0</v>
      </c>
      <c r="I547" t="s">
        <v>22</v>
      </c>
      <c r="J547" t="s">
        <v>22</v>
      </c>
    </row>
    <row r="548" spans="1:10" x14ac:dyDescent="0.25">
      <c r="A548" t="s">
        <v>628</v>
      </c>
      <c r="B548" t="s">
        <v>629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 t="s">
        <v>22</v>
      </c>
      <c r="J548" t="s">
        <v>22</v>
      </c>
    </row>
    <row r="549" spans="1:10" x14ac:dyDescent="0.25">
      <c r="A549" t="s">
        <v>630</v>
      </c>
      <c r="B549" t="s">
        <v>631</v>
      </c>
      <c r="C549" s="2">
        <v>2750</v>
      </c>
      <c r="D549">
        <v>0</v>
      </c>
      <c r="E549">
        <v>0</v>
      </c>
      <c r="F549">
        <v>0</v>
      </c>
      <c r="G549">
        <v>0</v>
      </c>
      <c r="H549">
        <v>0</v>
      </c>
      <c r="I549" t="s">
        <v>22</v>
      </c>
      <c r="J549" t="s">
        <v>22</v>
      </c>
    </row>
    <row r="550" spans="1:10" x14ac:dyDescent="0.25">
      <c r="A550" t="s">
        <v>632</v>
      </c>
      <c r="B550" t="s">
        <v>477</v>
      </c>
      <c r="C550">
        <v>136</v>
      </c>
      <c r="D550" s="2">
        <v>1673</v>
      </c>
      <c r="E550" s="2">
        <v>2398</v>
      </c>
      <c r="F550" s="2">
        <v>5000</v>
      </c>
      <c r="G550">
        <v>0</v>
      </c>
      <c r="H550">
        <v>0</v>
      </c>
      <c r="I550" t="s">
        <v>22</v>
      </c>
      <c r="J550" t="s">
        <v>22</v>
      </c>
    </row>
    <row r="551" spans="1:10" x14ac:dyDescent="0.25">
      <c r="C551" t="s">
        <v>108</v>
      </c>
      <c r="D551" t="s">
        <v>108</v>
      </c>
      <c r="E551" t="s">
        <v>108</v>
      </c>
      <c r="F551" t="s">
        <v>108</v>
      </c>
      <c r="G551" t="s">
        <v>108</v>
      </c>
    </row>
    <row r="552" spans="1:10" x14ac:dyDescent="0.25">
      <c r="H552" t="s">
        <v>22</v>
      </c>
      <c r="I552" t="s">
        <v>22</v>
      </c>
      <c r="J552" t="s">
        <v>22</v>
      </c>
    </row>
    <row r="553" spans="1:10" x14ac:dyDescent="0.25">
      <c r="A553" t="s">
        <v>109</v>
      </c>
    </row>
    <row r="554" spans="1:10" x14ac:dyDescent="0.25">
      <c r="B554" t="s">
        <v>478</v>
      </c>
      <c r="C554" s="2">
        <v>109641</v>
      </c>
      <c r="D554" s="2">
        <v>135981</v>
      </c>
      <c r="E554" s="2">
        <v>124367</v>
      </c>
      <c r="F554" s="2">
        <v>142139</v>
      </c>
      <c r="G554" s="2">
        <v>146501</v>
      </c>
      <c r="H554">
        <v>0</v>
      </c>
    </row>
    <row r="556" spans="1:10" x14ac:dyDescent="0.25">
      <c r="A556" t="s">
        <v>489</v>
      </c>
    </row>
    <row r="557" spans="1:10" x14ac:dyDescent="0.25">
      <c r="A557" t="s">
        <v>18</v>
      </c>
    </row>
    <row r="558" spans="1:10" x14ac:dyDescent="0.25">
      <c r="A558" t="s">
        <v>633</v>
      </c>
      <c r="B558" t="s">
        <v>491</v>
      </c>
      <c r="C558" s="2">
        <v>1254</v>
      </c>
      <c r="D558">
        <v>0</v>
      </c>
      <c r="E558">
        <v>260</v>
      </c>
      <c r="F558" s="2">
        <v>1000</v>
      </c>
      <c r="G558">
        <v>92</v>
      </c>
      <c r="H558">
        <v>0</v>
      </c>
      <c r="I558" t="s">
        <v>22</v>
      </c>
      <c r="J558" t="s">
        <v>22</v>
      </c>
    </row>
    <row r="559" spans="1:10" x14ac:dyDescent="0.25">
      <c r="A559" t="s">
        <v>634</v>
      </c>
      <c r="B559" t="s">
        <v>493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 t="s">
        <v>22</v>
      </c>
      <c r="J559" t="s">
        <v>22</v>
      </c>
    </row>
    <row r="560" spans="1:10" x14ac:dyDescent="0.25">
      <c r="A560" t="s">
        <v>635</v>
      </c>
      <c r="B560" t="s">
        <v>489</v>
      </c>
      <c r="C560" s="2">
        <v>1286</v>
      </c>
      <c r="D560" s="2">
        <v>3385</v>
      </c>
      <c r="E560" s="2">
        <v>1589</v>
      </c>
      <c r="F560" s="2">
        <v>2500</v>
      </c>
      <c r="G560">
        <v>553</v>
      </c>
      <c r="H560">
        <v>0</v>
      </c>
      <c r="I560" t="s">
        <v>22</v>
      </c>
      <c r="J560" t="s">
        <v>22</v>
      </c>
    </row>
    <row r="561" spans="1:10" x14ac:dyDescent="0.25">
      <c r="A561" t="s">
        <v>636</v>
      </c>
      <c r="B561" t="s">
        <v>496</v>
      </c>
      <c r="C561" s="2">
        <v>7426</v>
      </c>
      <c r="D561" s="2">
        <v>5381</v>
      </c>
      <c r="E561" s="2">
        <v>2017</v>
      </c>
      <c r="F561" s="2">
        <v>6000</v>
      </c>
      <c r="G561">
        <v>641</v>
      </c>
      <c r="H561">
        <v>0</v>
      </c>
      <c r="I561" t="s">
        <v>22</v>
      </c>
      <c r="J561" t="s">
        <v>22</v>
      </c>
    </row>
    <row r="562" spans="1:10" x14ac:dyDescent="0.25">
      <c r="A562" t="s">
        <v>637</v>
      </c>
      <c r="B562" t="s">
        <v>498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 t="s">
        <v>22</v>
      </c>
      <c r="J562" t="s">
        <v>22</v>
      </c>
    </row>
    <row r="563" spans="1:10" x14ac:dyDescent="0.25">
      <c r="A563" t="s">
        <v>638</v>
      </c>
      <c r="B563" t="s">
        <v>500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 t="s">
        <v>22</v>
      </c>
      <c r="J563" t="s">
        <v>22</v>
      </c>
    </row>
    <row r="564" spans="1:10" x14ac:dyDescent="0.25">
      <c r="C564" t="s">
        <v>108</v>
      </c>
      <c r="D564" t="s">
        <v>108</v>
      </c>
      <c r="E564" t="s">
        <v>108</v>
      </c>
      <c r="F564" t="s">
        <v>108</v>
      </c>
      <c r="G564" t="s">
        <v>108</v>
      </c>
    </row>
    <row r="565" spans="1:10" x14ac:dyDescent="0.25">
      <c r="H565" t="s">
        <v>22</v>
      </c>
      <c r="I565" t="s">
        <v>22</v>
      </c>
      <c r="J565" t="s">
        <v>22</v>
      </c>
    </row>
    <row r="566" spans="1:10" x14ac:dyDescent="0.25">
      <c r="A566" t="s">
        <v>109</v>
      </c>
    </row>
    <row r="567" spans="1:10" x14ac:dyDescent="0.25">
      <c r="B567" t="s">
        <v>489</v>
      </c>
      <c r="C567" s="2">
        <v>9966</v>
      </c>
      <c r="D567" s="2">
        <v>8766</v>
      </c>
      <c r="E567" s="2">
        <v>3866</v>
      </c>
      <c r="F567" s="2">
        <v>9500</v>
      </c>
      <c r="G567" s="2">
        <v>1286</v>
      </c>
      <c r="H567">
        <v>0</v>
      </c>
    </row>
    <row r="569" spans="1:10" x14ac:dyDescent="0.25">
      <c r="A569" t="s">
        <v>501</v>
      </c>
    </row>
    <row r="570" spans="1:10" x14ac:dyDescent="0.25">
      <c r="A570" t="s">
        <v>18</v>
      </c>
    </row>
    <row r="571" spans="1:10" x14ac:dyDescent="0.25">
      <c r="A571" t="s">
        <v>639</v>
      </c>
      <c r="B571" t="s">
        <v>503</v>
      </c>
      <c r="C571" s="2">
        <v>11668</v>
      </c>
      <c r="D571" s="2">
        <v>20128</v>
      </c>
      <c r="E571" s="2">
        <v>172250</v>
      </c>
      <c r="F571" s="2">
        <v>110000</v>
      </c>
      <c r="G571" s="2">
        <v>147588</v>
      </c>
      <c r="H571">
        <v>0</v>
      </c>
      <c r="I571" t="s">
        <v>22</v>
      </c>
      <c r="J571" t="s">
        <v>22</v>
      </c>
    </row>
    <row r="572" spans="1:10" x14ac:dyDescent="0.25">
      <c r="A572" t="s">
        <v>640</v>
      </c>
      <c r="B572" t="s">
        <v>507</v>
      </c>
      <c r="C572">
        <v>0</v>
      </c>
      <c r="D572" s="2">
        <v>2563</v>
      </c>
      <c r="E572">
        <v>0</v>
      </c>
      <c r="F572">
        <v>0</v>
      </c>
      <c r="G572">
        <v>0</v>
      </c>
      <c r="H572">
        <v>0</v>
      </c>
      <c r="I572" t="s">
        <v>22</v>
      </c>
      <c r="J572" t="s">
        <v>22</v>
      </c>
    </row>
    <row r="573" spans="1:10" x14ac:dyDescent="0.25">
      <c r="A573" t="s">
        <v>641</v>
      </c>
      <c r="B573" t="s">
        <v>642</v>
      </c>
      <c r="C573" s="2">
        <v>57535</v>
      </c>
      <c r="D573" s="2">
        <v>150013</v>
      </c>
      <c r="E573" s="2">
        <v>172210</v>
      </c>
      <c r="F573" s="2">
        <v>90000</v>
      </c>
      <c r="G573" s="2">
        <v>74893</v>
      </c>
      <c r="H573">
        <v>0</v>
      </c>
      <c r="I573" t="s">
        <v>22</v>
      </c>
      <c r="J573" t="s">
        <v>22</v>
      </c>
    </row>
    <row r="574" spans="1:10" x14ac:dyDescent="0.25">
      <c r="A574" t="s">
        <v>643</v>
      </c>
      <c r="B574" t="s">
        <v>644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 t="s">
        <v>22</v>
      </c>
      <c r="J574" t="s">
        <v>22</v>
      </c>
    </row>
    <row r="575" spans="1:10" x14ac:dyDescent="0.25">
      <c r="A575" t="s">
        <v>645</v>
      </c>
      <c r="B575" t="s">
        <v>646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 t="s">
        <v>22</v>
      </c>
      <c r="J575" t="s">
        <v>22</v>
      </c>
    </row>
    <row r="576" spans="1:10" x14ac:dyDescent="0.25">
      <c r="A576" t="s">
        <v>647</v>
      </c>
      <c r="B576" t="s">
        <v>648</v>
      </c>
      <c r="C576">
        <v>0</v>
      </c>
      <c r="D576">
        <v>0</v>
      </c>
      <c r="E576">
        <v>490</v>
      </c>
      <c r="F576">
        <v>0</v>
      </c>
      <c r="G576">
        <v>0</v>
      </c>
      <c r="H576">
        <v>0</v>
      </c>
      <c r="I576" t="s">
        <v>22</v>
      </c>
      <c r="J576" t="s">
        <v>22</v>
      </c>
    </row>
    <row r="577" spans="1:10" x14ac:dyDescent="0.25">
      <c r="A577" t="s">
        <v>649</v>
      </c>
      <c r="B577" t="s">
        <v>650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 t="s">
        <v>22</v>
      </c>
      <c r="J577" t="s">
        <v>22</v>
      </c>
    </row>
    <row r="578" spans="1:10" x14ac:dyDescent="0.25">
      <c r="A578" t="s">
        <v>110</v>
      </c>
    </row>
    <row r="579" spans="1:10" x14ac:dyDescent="0.25">
      <c r="A579" s="1">
        <v>43991</v>
      </c>
      <c r="B579" t="s">
        <v>111</v>
      </c>
      <c r="D579" t="s">
        <v>112</v>
      </c>
      <c r="E579" t="s">
        <v>113</v>
      </c>
      <c r="F579" t="s">
        <v>114</v>
      </c>
      <c r="J579" t="s">
        <v>651</v>
      </c>
    </row>
    <row r="580" spans="1:10" x14ac:dyDescent="0.25">
      <c r="D580" t="s">
        <v>116</v>
      </c>
      <c r="E580" t="s">
        <v>117</v>
      </c>
      <c r="F580" t="s">
        <v>118</v>
      </c>
    </row>
    <row r="581" spans="1:10" x14ac:dyDescent="0.25">
      <c r="D581" t="s">
        <v>119</v>
      </c>
      <c r="E581" t="s">
        <v>120</v>
      </c>
      <c r="F581" t="s">
        <v>121</v>
      </c>
    </row>
    <row r="582" spans="1:10" x14ac:dyDescent="0.25">
      <c r="A582" t="s">
        <v>122</v>
      </c>
      <c r="B582" t="s">
        <v>123</v>
      </c>
    </row>
    <row r="583" spans="1:10" x14ac:dyDescent="0.25">
      <c r="A583" t="s">
        <v>386</v>
      </c>
    </row>
    <row r="584" spans="1:10" x14ac:dyDescent="0.25">
      <c r="F584" t="s">
        <v>2</v>
      </c>
      <c r="G584" t="s">
        <v>3</v>
      </c>
      <c r="H584" t="s">
        <v>4</v>
      </c>
      <c r="I584" t="s">
        <v>5</v>
      </c>
      <c r="J584" t="s">
        <v>6</v>
      </c>
    </row>
    <row r="585" spans="1:10" x14ac:dyDescent="0.25">
      <c r="C585" t="s">
        <v>7</v>
      </c>
      <c r="D585" t="s">
        <v>8</v>
      </c>
      <c r="E585" t="s">
        <v>9</v>
      </c>
      <c r="F585" t="s">
        <v>10</v>
      </c>
      <c r="G585" t="s">
        <v>124</v>
      </c>
      <c r="H585" t="s">
        <v>12</v>
      </c>
      <c r="I585" t="s">
        <v>13</v>
      </c>
      <c r="J585" t="s">
        <v>14</v>
      </c>
    </row>
    <row r="586" spans="1:10" x14ac:dyDescent="0.25">
      <c r="C586" t="s">
        <v>15</v>
      </c>
      <c r="D586" t="s">
        <v>15</v>
      </c>
      <c r="E586" t="s">
        <v>15</v>
      </c>
      <c r="F586" t="s">
        <v>16</v>
      </c>
      <c r="G586" t="s">
        <v>15</v>
      </c>
      <c r="H586" t="s">
        <v>17</v>
      </c>
      <c r="I586" t="s">
        <v>16</v>
      </c>
      <c r="J586" t="s">
        <v>16</v>
      </c>
    </row>
    <row r="587" spans="1:10" x14ac:dyDescent="0.25">
      <c r="A587" t="s">
        <v>18</v>
      </c>
      <c r="B587" t="s">
        <v>19</v>
      </c>
      <c r="C587" t="s">
        <v>20</v>
      </c>
      <c r="D587" t="s">
        <v>21</v>
      </c>
      <c r="E587" t="s">
        <v>22</v>
      </c>
      <c r="F587" t="s">
        <v>23</v>
      </c>
      <c r="G587" t="s">
        <v>24</v>
      </c>
      <c r="H587" t="s">
        <v>20</v>
      </c>
      <c r="I587" t="s">
        <v>24</v>
      </c>
      <c r="J587" t="s">
        <v>20</v>
      </c>
    </row>
    <row r="588" spans="1:10" x14ac:dyDescent="0.25">
      <c r="A588" t="s">
        <v>652</v>
      </c>
      <c r="B588" t="s">
        <v>517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 t="s">
        <v>22</v>
      </c>
      <c r="J588" t="s">
        <v>22</v>
      </c>
    </row>
    <row r="589" spans="1:10" x14ac:dyDescent="0.25">
      <c r="A589" t="s">
        <v>653</v>
      </c>
      <c r="B589" t="s">
        <v>519</v>
      </c>
      <c r="C589" s="2">
        <v>14542</v>
      </c>
      <c r="D589" t="s">
        <v>654</v>
      </c>
      <c r="E589" t="s">
        <v>655</v>
      </c>
      <c r="F589" s="2">
        <v>4000</v>
      </c>
      <c r="G589" s="2">
        <v>1497</v>
      </c>
      <c r="H589">
        <v>0</v>
      </c>
      <c r="I589" t="s">
        <v>22</v>
      </c>
      <c r="J589" t="s">
        <v>22</v>
      </c>
    </row>
    <row r="590" spans="1:10" x14ac:dyDescent="0.25">
      <c r="A590" t="s">
        <v>656</v>
      </c>
      <c r="B590" t="s">
        <v>521</v>
      </c>
      <c r="C590">
        <v>0</v>
      </c>
      <c r="D590" s="2">
        <v>7816</v>
      </c>
      <c r="E590" s="2">
        <v>26975</v>
      </c>
      <c r="F590" s="2">
        <v>24200</v>
      </c>
      <c r="G590" s="2">
        <v>21152</v>
      </c>
      <c r="H590">
        <v>0</v>
      </c>
      <c r="I590" t="s">
        <v>22</v>
      </c>
      <c r="J590" t="s">
        <v>22</v>
      </c>
    </row>
    <row r="591" spans="1:10" x14ac:dyDescent="0.25">
      <c r="C591" t="s">
        <v>108</v>
      </c>
      <c r="D591" t="s">
        <v>108</v>
      </c>
      <c r="E591" t="s">
        <v>108</v>
      </c>
      <c r="F591" t="s">
        <v>108</v>
      </c>
      <c r="G591" t="s">
        <v>108</v>
      </c>
    </row>
    <row r="592" spans="1:10" x14ac:dyDescent="0.25">
      <c r="H592" t="s">
        <v>22</v>
      </c>
      <c r="I592" t="s">
        <v>22</v>
      </c>
      <c r="J592" t="s">
        <v>22</v>
      </c>
    </row>
    <row r="593" spans="1:10" x14ac:dyDescent="0.25">
      <c r="A593" t="s">
        <v>109</v>
      </c>
    </row>
    <row r="594" spans="1:10" x14ac:dyDescent="0.25">
      <c r="B594" t="s">
        <v>501</v>
      </c>
      <c r="C594" s="2">
        <v>83745</v>
      </c>
      <c r="D594" s="2">
        <v>190999</v>
      </c>
      <c r="E594" s="2">
        <v>370800</v>
      </c>
      <c r="F594" s="2">
        <v>228200</v>
      </c>
      <c r="G594" s="2">
        <v>245130</v>
      </c>
      <c r="H594">
        <v>0</v>
      </c>
    </row>
    <row r="596" spans="1:10" x14ac:dyDescent="0.25">
      <c r="A596" t="s">
        <v>524</v>
      </c>
      <c r="B596" t="s">
        <v>525</v>
      </c>
    </row>
    <row r="597" spans="1:10" x14ac:dyDescent="0.25">
      <c r="A597" t="s">
        <v>18</v>
      </c>
      <c r="B597" t="s">
        <v>526</v>
      </c>
    </row>
    <row r="598" spans="1:10" x14ac:dyDescent="0.25">
      <c r="A598" t="s">
        <v>657</v>
      </c>
      <c r="B598" t="s">
        <v>658</v>
      </c>
      <c r="C598" s="2">
        <v>61973</v>
      </c>
      <c r="D598">
        <v>0</v>
      </c>
      <c r="E598" s="2">
        <v>32858</v>
      </c>
      <c r="F598" s="2">
        <v>35000</v>
      </c>
      <c r="G598">
        <v>0</v>
      </c>
      <c r="H598">
        <v>0</v>
      </c>
      <c r="I598" t="s">
        <v>22</v>
      </c>
      <c r="J598" t="s">
        <v>22</v>
      </c>
    </row>
    <row r="599" spans="1:10" x14ac:dyDescent="0.25">
      <c r="A599" t="s">
        <v>659</v>
      </c>
      <c r="B599" t="s">
        <v>660</v>
      </c>
      <c r="C599">
        <v>0</v>
      </c>
      <c r="D599">
        <v>0</v>
      </c>
      <c r="E599">
        <v>0</v>
      </c>
      <c r="F599" s="2">
        <v>45000</v>
      </c>
      <c r="G599">
        <v>0</v>
      </c>
      <c r="H599">
        <v>0</v>
      </c>
      <c r="I599" t="s">
        <v>22</v>
      </c>
      <c r="J599" t="s">
        <v>22</v>
      </c>
    </row>
    <row r="600" spans="1:10" x14ac:dyDescent="0.25">
      <c r="A600" t="s">
        <v>661</v>
      </c>
      <c r="B600" t="s">
        <v>662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 t="s">
        <v>22</v>
      </c>
      <c r="J600" t="s">
        <v>22</v>
      </c>
    </row>
    <row r="601" spans="1:10" x14ac:dyDescent="0.25">
      <c r="A601" t="s">
        <v>663</v>
      </c>
      <c r="B601" t="s">
        <v>664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 t="s">
        <v>22</v>
      </c>
      <c r="J601" t="s">
        <v>22</v>
      </c>
    </row>
    <row r="602" spans="1:10" x14ac:dyDescent="0.25">
      <c r="C602" t="s">
        <v>108</v>
      </c>
      <c r="D602" t="s">
        <v>108</v>
      </c>
      <c r="E602" t="s">
        <v>108</v>
      </c>
      <c r="F602" t="s">
        <v>108</v>
      </c>
      <c r="G602" t="s">
        <v>108</v>
      </c>
    </row>
    <row r="603" spans="1:10" x14ac:dyDescent="0.25">
      <c r="H603" t="s">
        <v>22</v>
      </c>
      <c r="I603" t="s">
        <v>22</v>
      </c>
      <c r="J603" t="s">
        <v>22</v>
      </c>
    </row>
    <row r="604" spans="1:10" x14ac:dyDescent="0.25">
      <c r="A604" t="s">
        <v>109</v>
      </c>
    </row>
    <row r="605" spans="1:10" x14ac:dyDescent="0.25">
      <c r="B605" t="s">
        <v>530</v>
      </c>
      <c r="C605" s="2">
        <v>61973</v>
      </c>
      <c r="D605">
        <v>0</v>
      </c>
      <c r="E605" s="2">
        <v>32858</v>
      </c>
      <c r="F605" s="2">
        <v>80000</v>
      </c>
      <c r="G605">
        <v>0</v>
      </c>
      <c r="H605">
        <v>0</v>
      </c>
    </row>
    <row r="606" spans="1:10" x14ac:dyDescent="0.25">
      <c r="A606" t="s">
        <v>18</v>
      </c>
      <c r="B606" t="s">
        <v>19</v>
      </c>
      <c r="C606" t="s">
        <v>20</v>
      </c>
      <c r="D606" t="s">
        <v>21</v>
      </c>
      <c r="E606" t="s">
        <v>26</v>
      </c>
    </row>
    <row r="607" spans="1:10" x14ac:dyDescent="0.25">
      <c r="E607" t="s">
        <v>339</v>
      </c>
      <c r="F607" t="s">
        <v>23</v>
      </c>
      <c r="G607" t="s">
        <v>24</v>
      </c>
      <c r="H607" t="s">
        <v>20</v>
      </c>
      <c r="I607" t="s">
        <v>24</v>
      </c>
      <c r="J607" t="s">
        <v>20</v>
      </c>
    </row>
    <row r="608" spans="1:10" x14ac:dyDescent="0.25">
      <c r="A608" t="s">
        <v>109</v>
      </c>
    </row>
    <row r="609" spans="1:10" x14ac:dyDescent="0.25">
      <c r="A609">
        <v>12</v>
      </c>
      <c r="B609" t="e">
        <f>-DEVELOPMENT SERVICES</f>
        <v>#NAME?</v>
      </c>
      <c r="C609" s="2">
        <v>887059</v>
      </c>
      <c r="D609" s="2">
        <v>1038671</v>
      </c>
      <c r="E609" s="2">
        <v>1056121</v>
      </c>
      <c r="F609" s="2">
        <v>1272088</v>
      </c>
      <c r="G609" s="2">
        <v>644410</v>
      </c>
      <c r="H609">
        <v>0</v>
      </c>
    </row>
    <row r="611" spans="1:10" x14ac:dyDescent="0.25">
      <c r="A611" t="s">
        <v>665</v>
      </c>
      <c r="B611" t="s">
        <v>666</v>
      </c>
    </row>
    <row r="612" spans="1:10" x14ac:dyDescent="0.25">
      <c r="A612" t="s">
        <v>389</v>
      </c>
      <c r="B612" t="s">
        <v>667</v>
      </c>
    </row>
    <row r="614" spans="1:10" x14ac:dyDescent="0.25">
      <c r="A614" t="s">
        <v>391</v>
      </c>
      <c r="B614" t="s">
        <v>392</v>
      </c>
    </row>
    <row r="615" spans="1:10" x14ac:dyDescent="0.25">
      <c r="A615" t="s">
        <v>18</v>
      </c>
      <c r="B615" t="s">
        <v>228</v>
      </c>
    </row>
    <row r="616" spans="1:10" x14ac:dyDescent="0.25">
      <c r="A616" t="s">
        <v>668</v>
      </c>
      <c r="B616" t="s">
        <v>569</v>
      </c>
      <c r="C616" s="2">
        <v>8345</v>
      </c>
      <c r="D616" s="2">
        <v>8617</v>
      </c>
      <c r="E616">
        <v>0</v>
      </c>
      <c r="F616">
        <v>0</v>
      </c>
      <c r="G616">
        <v>0</v>
      </c>
      <c r="H616">
        <v>0</v>
      </c>
      <c r="I616" t="s">
        <v>22</v>
      </c>
      <c r="J616" t="s">
        <v>22</v>
      </c>
    </row>
    <row r="617" spans="1:10" x14ac:dyDescent="0.25">
      <c r="A617" t="s">
        <v>669</v>
      </c>
      <c r="B617" t="s">
        <v>396</v>
      </c>
      <c r="C617">
        <v>27</v>
      </c>
      <c r="D617">
        <v>50</v>
      </c>
      <c r="E617">
        <v>503</v>
      </c>
      <c r="F617" s="2">
        <v>1260</v>
      </c>
      <c r="G617">
        <v>0</v>
      </c>
      <c r="H617">
        <v>0</v>
      </c>
      <c r="I617" t="s">
        <v>22</v>
      </c>
      <c r="J617" t="s">
        <v>22</v>
      </c>
    </row>
    <row r="618" spans="1:10" x14ac:dyDescent="0.25">
      <c r="A618" t="s">
        <v>670</v>
      </c>
      <c r="B618" t="s">
        <v>398</v>
      </c>
      <c r="C618" s="2">
        <v>13487</v>
      </c>
      <c r="D618" s="2">
        <v>18346</v>
      </c>
      <c r="E618" s="2">
        <v>35064</v>
      </c>
      <c r="F618" s="2">
        <v>34172</v>
      </c>
      <c r="G618" s="2">
        <v>13392</v>
      </c>
      <c r="H618">
        <v>0</v>
      </c>
      <c r="I618" t="s">
        <v>22</v>
      </c>
      <c r="J618" t="s">
        <v>22</v>
      </c>
    </row>
    <row r="619" spans="1:10" x14ac:dyDescent="0.25">
      <c r="A619" t="s">
        <v>671</v>
      </c>
      <c r="B619" t="s">
        <v>400</v>
      </c>
      <c r="C619" s="2">
        <v>13556</v>
      </c>
      <c r="D619" s="2">
        <v>19743</v>
      </c>
      <c r="E619" s="2">
        <v>40661</v>
      </c>
      <c r="F619" s="2">
        <v>38405</v>
      </c>
      <c r="G619" s="2">
        <v>15193</v>
      </c>
      <c r="H619">
        <v>0</v>
      </c>
      <c r="I619" t="s">
        <v>22</v>
      </c>
      <c r="J619" t="s">
        <v>22</v>
      </c>
    </row>
    <row r="620" spans="1:10" x14ac:dyDescent="0.25">
      <c r="A620" t="s">
        <v>672</v>
      </c>
      <c r="B620" t="s">
        <v>574</v>
      </c>
      <c r="C620" s="2">
        <v>34844</v>
      </c>
      <c r="D620" s="2">
        <v>44508</v>
      </c>
      <c r="E620" s="2">
        <v>60519</v>
      </c>
      <c r="F620" s="2">
        <v>50619</v>
      </c>
      <c r="G620" s="2">
        <v>32813</v>
      </c>
      <c r="H620">
        <v>0</v>
      </c>
      <c r="I620" t="s">
        <v>22</v>
      </c>
      <c r="J620" t="s">
        <v>22</v>
      </c>
    </row>
    <row r="621" spans="1:10" x14ac:dyDescent="0.25">
      <c r="A621" t="s">
        <v>673</v>
      </c>
      <c r="B621" t="s">
        <v>404</v>
      </c>
      <c r="C621" s="2">
        <v>1736</v>
      </c>
      <c r="D621" s="2">
        <v>2099</v>
      </c>
      <c r="E621" s="2">
        <v>2585</v>
      </c>
      <c r="F621" s="2">
        <v>2616</v>
      </c>
      <c r="G621" s="2">
        <v>1106</v>
      </c>
      <c r="H621">
        <v>0</v>
      </c>
      <c r="I621" t="s">
        <v>22</v>
      </c>
      <c r="J621" t="s">
        <v>22</v>
      </c>
    </row>
    <row r="622" spans="1:10" x14ac:dyDescent="0.25">
      <c r="A622" t="s">
        <v>674</v>
      </c>
      <c r="B622" t="s">
        <v>406</v>
      </c>
      <c r="C622">
        <v>412</v>
      </c>
      <c r="D622" s="2">
        <v>5177</v>
      </c>
      <c r="E622" s="2">
        <v>1113</v>
      </c>
      <c r="F622" s="2">
        <v>1224</v>
      </c>
      <c r="G622" s="2">
        <v>1605</v>
      </c>
      <c r="H622">
        <v>0</v>
      </c>
      <c r="I622" t="s">
        <v>22</v>
      </c>
      <c r="J622" t="s">
        <v>22</v>
      </c>
    </row>
    <row r="623" spans="1:10" x14ac:dyDescent="0.25">
      <c r="A623" t="s">
        <v>675</v>
      </c>
      <c r="B623" t="s">
        <v>676</v>
      </c>
      <c r="C623">
        <v>0</v>
      </c>
      <c r="D623" s="2">
        <v>26154</v>
      </c>
      <c r="E623" s="2">
        <v>80000</v>
      </c>
      <c r="F623" s="2">
        <v>84000</v>
      </c>
      <c r="G623" s="2">
        <v>57846</v>
      </c>
      <c r="H623">
        <v>0</v>
      </c>
      <c r="I623" t="s">
        <v>22</v>
      </c>
      <c r="J623" t="s">
        <v>22</v>
      </c>
    </row>
    <row r="624" spans="1:10" x14ac:dyDescent="0.25">
      <c r="A624" t="s">
        <v>677</v>
      </c>
      <c r="B624" t="s">
        <v>678</v>
      </c>
      <c r="C624" s="2">
        <v>22327</v>
      </c>
      <c r="D624" s="2">
        <v>40693</v>
      </c>
      <c r="E624" s="2">
        <v>6210</v>
      </c>
      <c r="F624" s="2">
        <v>42000</v>
      </c>
      <c r="G624" s="2">
        <v>1760</v>
      </c>
      <c r="H624">
        <v>0</v>
      </c>
      <c r="I624" t="s">
        <v>22</v>
      </c>
      <c r="J624" t="s">
        <v>22</v>
      </c>
    </row>
    <row r="625" spans="1:10" x14ac:dyDescent="0.25">
      <c r="A625" t="s">
        <v>679</v>
      </c>
      <c r="B625" t="s">
        <v>680</v>
      </c>
      <c r="C625" s="2">
        <v>55908</v>
      </c>
      <c r="D625" s="2">
        <v>65154</v>
      </c>
      <c r="E625" s="2">
        <v>75006</v>
      </c>
      <c r="F625" s="2">
        <v>78756</v>
      </c>
      <c r="G625" s="2">
        <v>48060</v>
      </c>
      <c r="H625">
        <v>0</v>
      </c>
      <c r="I625" t="s">
        <v>22</v>
      </c>
      <c r="J625" t="s">
        <v>22</v>
      </c>
    </row>
    <row r="626" spans="1:10" x14ac:dyDescent="0.25">
      <c r="A626" t="s">
        <v>681</v>
      </c>
      <c r="B626" t="s">
        <v>682</v>
      </c>
      <c r="C626">
        <v>0</v>
      </c>
      <c r="D626">
        <v>0</v>
      </c>
      <c r="E626">
        <v>0</v>
      </c>
      <c r="F626">
        <v>0</v>
      </c>
      <c r="G626" s="2">
        <v>13077</v>
      </c>
      <c r="H626">
        <v>0</v>
      </c>
      <c r="I626" t="s">
        <v>22</v>
      </c>
      <c r="J626" t="s">
        <v>22</v>
      </c>
    </row>
    <row r="627" spans="1:10" x14ac:dyDescent="0.25">
      <c r="A627" t="s">
        <v>683</v>
      </c>
      <c r="B627" t="s">
        <v>684</v>
      </c>
      <c r="C627" s="2">
        <v>85057</v>
      </c>
      <c r="D627" s="2">
        <v>96758</v>
      </c>
      <c r="E627" s="2">
        <v>178456</v>
      </c>
      <c r="F627" s="2">
        <v>110532</v>
      </c>
      <c r="G627">
        <v>0</v>
      </c>
      <c r="H627">
        <v>0</v>
      </c>
      <c r="I627" t="s">
        <v>22</v>
      </c>
      <c r="J627" t="s">
        <v>22</v>
      </c>
    </row>
    <row r="628" spans="1:10" x14ac:dyDescent="0.25">
      <c r="A628" t="s">
        <v>685</v>
      </c>
      <c r="B628" t="s">
        <v>686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 t="s">
        <v>22</v>
      </c>
      <c r="J628" t="s">
        <v>22</v>
      </c>
    </row>
    <row r="629" spans="1:10" x14ac:dyDescent="0.25">
      <c r="A629" t="s">
        <v>687</v>
      </c>
      <c r="B629" t="s">
        <v>688</v>
      </c>
      <c r="C629">
        <v>0</v>
      </c>
      <c r="D629" s="2">
        <v>11538</v>
      </c>
      <c r="E629" s="2">
        <v>120000</v>
      </c>
      <c r="F629" s="2">
        <v>126000</v>
      </c>
      <c r="G629" s="2">
        <v>55151</v>
      </c>
      <c r="H629">
        <v>0</v>
      </c>
      <c r="I629" t="s">
        <v>22</v>
      </c>
      <c r="J629" t="s">
        <v>22</v>
      </c>
    </row>
    <row r="630" spans="1:10" x14ac:dyDescent="0.25">
      <c r="A630" t="s">
        <v>689</v>
      </c>
      <c r="B630" t="s">
        <v>690</v>
      </c>
      <c r="C630">
        <v>900</v>
      </c>
      <c r="D630" s="2">
        <v>1003</v>
      </c>
      <c r="E630" s="2">
        <v>1107</v>
      </c>
      <c r="F630" s="2">
        <v>1408</v>
      </c>
      <c r="G630">
        <v>657</v>
      </c>
      <c r="H630">
        <v>0</v>
      </c>
      <c r="I630" t="s">
        <v>22</v>
      </c>
      <c r="J630" t="s">
        <v>22</v>
      </c>
    </row>
    <row r="631" spans="1:10" x14ac:dyDescent="0.25">
      <c r="A631" t="s">
        <v>691</v>
      </c>
      <c r="B631" t="s">
        <v>426</v>
      </c>
      <c r="C631">
        <v>810</v>
      </c>
      <c r="D631" s="2">
        <v>1215</v>
      </c>
      <c r="E631" s="2">
        <v>1215</v>
      </c>
      <c r="F631" s="2">
        <v>2025</v>
      </c>
      <c r="G631" s="2">
        <v>1246</v>
      </c>
      <c r="H631">
        <v>0</v>
      </c>
      <c r="I631" t="s">
        <v>22</v>
      </c>
      <c r="J631" t="s">
        <v>22</v>
      </c>
    </row>
    <row r="632" spans="1:10" x14ac:dyDescent="0.25">
      <c r="A632" t="s">
        <v>692</v>
      </c>
      <c r="B632" t="s">
        <v>428</v>
      </c>
      <c r="C632" s="2">
        <v>1500</v>
      </c>
      <c r="D632" s="2">
        <v>1639</v>
      </c>
      <c r="E632" s="2">
        <v>1154</v>
      </c>
      <c r="F632" s="2">
        <v>2400</v>
      </c>
      <c r="G632">
        <v>415</v>
      </c>
      <c r="H632">
        <v>0</v>
      </c>
      <c r="I632" t="s">
        <v>22</v>
      </c>
      <c r="J632" t="s">
        <v>22</v>
      </c>
    </row>
    <row r="633" spans="1:10" x14ac:dyDescent="0.25">
      <c r="A633" t="s">
        <v>693</v>
      </c>
      <c r="B633" t="s">
        <v>430</v>
      </c>
      <c r="C633">
        <v>69</v>
      </c>
      <c r="D633">
        <v>104</v>
      </c>
      <c r="E633">
        <v>138</v>
      </c>
      <c r="F633">
        <v>207</v>
      </c>
      <c r="G633">
        <v>104</v>
      </c>
      <c r="H633">
        <v>0</v>
      </c>
      <c r="I633" t="s">
        <v>22</v>
      </c>
      <c r="J633" t="s">
        <v>22</v>
      </c>
    </row>
    <row r="634" spans="1:10" x14ac:dyDescent="0.25">
      <c r="A634" t="s">
        <v>694</v>
      </c>
      <c r="B634" t="s">
        <v>695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 t="s">
        <v>22</v>
      </c>
      <c r="J634" t="s">
        <v>22</v>
      </c>
    </row>
    <row r="635" spans="1:10" x14ac:dyDescent="0.25">
      <c r="A635" t="s">
        <v>696</v>
      </c>
      <c r="B635" t="s">
        <v>432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 t="s">
        <v>22</v>
      </c>
      <c r="J635" t="s">
        <v>22</v>
      </c>
    </row>
    <row r="636" spans="1:10" x14ac:dyDescent="0.25">
      <c r="A636" t="s">
        <v>697</v>
      </c>
      <c r="B636" t="s">
        <v>434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 t="s">
        <v>22</v>
      </c>
      <c r="J636" t="s">
        <v>22</v>
      </c>
    </row>
    <row r="637" spans="1:10" x14ac:dyDescent="0.25">
      <c r="A637" t="s">
        <v>698</v>
      </c>
      <c r="B637" t="s">
        <v>436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 t="s">
        <v>22</v>
      </c>
      <c r="J637" t="s">
        <v>22</v>
      </c>
    </row>
    <row r="638" spans="1:10" x14ac:dyDescent="0.25">
      <c r="A638" t="s">
        <v>699</v>
      </c>
      <c r="B638" t="s">
        <v>607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 t="s">
        <v>22</v>
      </c>
      <c r="J638" t="s">
        <v>22</v>
      </c>
    </row>
    <row r="639" spans="1:10" x14ac:dyDescent="0.25">
      <c r="C639" t="s">
        <v>108</v>
      </c>
      <c r="D639" t="s">
        <v>108</v>
      </c>
      <c r="E639" t="s">
        <v>108</v>
      </c>
      <c r="F639" t="s">
        <v>108</v>
      </c>
      <c r="G639" t="s">
        <v>108</v>
      </c>
    </row>
    <row r="640" spans="1:10" x14ac:dyDescent="0.25">
      <c r="H640" t="s">
        <v>22</v>
      </c>
      <c r="I640" t="s">
        <v>22</v>
      </c>
      <c r="J640" t="s">
        <v>22</v>
      </c>
    </row>
    <row r="641" spans="1:10" x14ac:dyDescent="0.25">
      <c r="A641" t="s">
        <v>109</v>
      </c>
    </row>
    <row r="642" spans="1:10" x14ac:dyDescent="0.25">
      <c r="B642" t="s">
        <v>441</v>
      </c>
      <c r="C642" s="2">
        <v>238978</v>
      </c>
      <c r="D642" s="2">
        <v>342798</v>
      </c>
      <c r="E642" s="2">
        <v>603730</v>
      </c>
      <c r="F642" s="2">
        <v>575624</v>
      </c>
      <c r="G642" s="2">
        <v>242426</v>
      </c>
      <c r="H642">
        <v>0</v>
      </c>
    </row>
    <row r="644" spans="1:10" x14ac:dyDescent="0.25">
      <c r="A644" t="s">
        <v>442</v>
      </c>
      <c r="B644" t="s">
        <v>443</v>
      </c>
    </row>
    <row r="645" spans="1:10" x14ac:dyDescent="0.25">
      <c r="A645" t="s">
        <v>18</v>
      </c>
      <c r="B645" t="s">
        <v>21</v>
      </c>
    </row>
    <row r="646" spans="1:10" x14ac:dyDescent="0.25">
      <c r="A646" t="s">
        <v>700</v>
      </c>
      <c r="B646" t="s">
        <v>445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 t="s">
        <v>22</v>
      </c>
      <c r="J646" t="s">
        <v>22</v>
      </c>
    </row>
    <row r="647" spans="1:10" x14ac:dyDescent="0.25">
      <c r="A647" t="s">
        <v>701</v>
      </c>
      <c r="B647" t="s">
        <v>447</v>
      </c>
      <c r="C647">
        <v>0</v>
      </c>
      <c r="D647">
        <v>213</v>
      </c>
      <c r="E647">
        <v>0</v>
      </c>
      <c r="F647">
        <v>200</v>
      </c>
      <c r="G647">
        <v>0</v>
      </c>
      <c r="H647">
        <v>0</v>
      </c>
      <c r="I647" t="s">
        <v>22</v>
      </c>
      <c r="J647" t="s">
        <v>22</v>
      </c>
    </row>
    <row r="648" spans="1:10" x14ac:dyDescent="0.25">
      <c r="A648" t="s">
        <v>702</v>
      </c>
      <c r="B648" t="s">
        <v>449</v>
      </c>
      <c r="C648">
        <v>812</v>
      </c>
      <c r="D648">
        <v>225</v>
      </c>
      <c r="E648" s="2">
        <v>1328</v>
      </c>
      <c r="F648" s="2">
        <v>1600</v>
      </c>
      <c r="G648">
        <v>0</v>
      </c>
      <c r="H648">
        <v>0</v>
      </c>
      <c r="I648" t="s">
        <v>22</v>
      </c>
      <c r="J648" t="s">
        <v>22</v>
      </c>
    </row>
    <row r="649" spans="1:10" x14ac:dyDescent="0.25">
      <c r="A649" t="s">
        <v>703</v>
      </c>
      <c r="B649" t="s">
        <v>451</v>
      </c>
      <c r="C649">
        <v>0</v>
      </c>
      <c r="D649" s="2">
        <v>1135</v>
      </c>
      <c r="E649" s="2">
        <v>1427</v>
      </c>
      <c r="F649" s="2">
        <v>2000</v>
      </c>
      <c r="G649" s="2">
        <v>1068</v>
      </c>
      <c r="H649">
        <v>0</v>
      </c>
      <c r="I649" t="s">
        <v>22</v>
      </c>
      <c r="J649" t="s">
        <v>22</v>
      </c>
    </row>
    <row r="650" spans="1:10" x14ac:dyDescent="0.25">
      <c r="A650" t="s">
        <v>704</v>
      </c>
      <c r="B650" t="s">
        <v>457</v>
      </c>
      <c r="C650">
        <v>0</v>
      </c>
      <c r="D650">
        <v>300</v>
      </c>
      <c r="E650">
        <v>400</v>
      </c>
      <c r="F650">
        <v>300</v>
      </c>
      <c r="G650">
        <v>0</v>
      </c>
      <c r="H650">
        <v>0</v>
      </c>
      <c r="I650" t="s">
        <v>22</v>
      </c>
      <c r="J650" t="s">
        <v>22</v>
      </c>
    </row>
    <row r="651" spans="1:10" x14ac:dyDescent="0.25">
      <c r="A651" t="s">
        <v>705</v>
      </c>
      <c r="B651" t="s">
        <v>459</v>
      </c>
      <c r="C651">
        <v>0</v>
      </c>
      <c r="D651">
        <v>230</v>
      </c>
      <c r="E651">
        <v>0</v>
      </c>
      <c r="F651">
        <v>115</v>
      </c>
      <c r="G651">
        <v>0</v>
      </c>
      <c r="H651">
        <v>0</v>
      </c>
      <c r="I651" t="s">
        <v>22</v>
      </c>
      <c r="J651" t="s">
        <v>22</v>
      </c>
    </row>
    <row r="652" spans="1:10" x14ac:dyDescent="0.25">
      <c r="A652" t="s">
        <v>110</v>
      </c>
    </row>
    <row r="653" spans="1:10" x14ac:dyDescent="0.25">
      <c r="A653" s="1">
        <v>43991</v>
      </c>
      <c r="B653" t="s">
        <v>111</v>
      </c>
      <c r="D653" t="s">
        <v>112</v>
      </c>
      <c r="E653" t="s">
        <v>113</v>
      </c>
      <c r="F653" t="s">
        <v>114</v>
      </c>
      <c r="J653" t="s">
        <v>706</v>
      </c>
    </row>
    <row r="654" spans="1:10" x14ac:dyDescent="0.25">
      <c r="D654" t="s">
        <v>116</v>
      </c>
      <c r="E654" t="s">
        <v>117</v>
      </c>
      <c r="F654" t="s">
        <v>118</v>
      </c>
    </row>
    <row r="655" spans="1:10" x14ac:dyDescent="0.25">
      <c r="D655" t="s">
        <v>119</v>
      </c>
      <c r="E655" t="s">
        <v>120</v>
      </c>
      <c r="F655" t="s">
        <v>121</v>
      </c>
    </row>
    <row r="656" spans="1:10" x14ac:dyDescent="0.25">
      <c r="A656" t="s">
        <v>122</v>
      </c>
      <c r="B656" t="s">
        <v>123</v>
      </c>
    </row>
    <row r="657" spans="1:10" x14ac:dyDescent="0.25">
      <c r="A657" t="s">
        <v>386</v>
      </c>
    </row>
    <row r="658" spans="1:10" x14ac:dyDescent="0.25">
      <c r="F658" t="s">
        <v>2</v>
      </c>
      <c r="G658" t="s">
        <v>3</v>
      </c>
      <c r="H658" t="s">
        <v>4</v>
      </c>
      <c r="I658" t="s">
        <v>5</v>
      </c>
      <c r="J658" t="s">
        <v>6</v>
      </c>
    </row>
    <row r="659" spans="1:10" x14ac:dyDescent="0.25">
      <c r="C659" t="s">
        <v>7</v>
      </c>
      <c r="D659" t="s">
        <v>8</v>
      </c>
      <c r="E659" t="s">
        <v>9</v>
      </c>
      <c r="F659" t="s">
        <v>10</v>
      </c>
      <c r="G659" t="s">
        <v>124</v>
      </c>
      <c r="H659" t="s">
        <v>12</v>
      </c>
      <c r="I659" t="s">
        <v>13</v>
      </c>
      <c r="J659" t="s">
        <v>14</v>
      </c>
    </row>
    <row r="660" spans="1:10" x14ac:dyDescent="0.25">
      <c r="C660" t="s">
        <v>15</v>
      </c>
      <c r="D660" t="s">
        <v>15</v>
      </c>
      <c r="E660" t="s">
        <v>15</v>
      </c>
      <c r="F660" t="s">
        <v>16</v>
      </c>
      <c r="G660" t="s">
        <v>15</v>
      </c>
      <c r="H660" t="s">
        <v>17</v>
      </c>
      <c r="I660" t="s">
        <v>16</v>
      </c>
      <c r="J660" t="s">
        <v>16</v>
      </c>
    </row>
    <row r="661" spans="1:10" x14ac:dyDescent="0.25">
      <c r="A661" t="s">
        <v>18</v>
      </c>
      <c r="B661" t="s">
        <v>19</v>
      </c>
      <c r="C661" t="s">
        <v>20</v>
      </c>
      <c r="D661" t="s">
        <v>21</v>
      </c>
      <c r="E661" t="s">
        <v>22</v>
      </c>
      <c r="F661" t="s">
        <v>23</v>
      </c>
      <c r="G661" t="s">
        <v>24</v>
      </c>
      <c r="H661" t="s">
        <v>20</v>
      </c>
      <c r="I661" t="s">
        <v>24</v>
      </c>
      <c r="J661" t="s">
        <v>20</v>
      </c>
    </row>
    <row r="662" spans="1:10" x14ac:dyDescent="0.25">
      <c r="A662" t="s">
        <v>707</v>
      </c>
      <c r="B662" t="s">
        <v>461</v>
      </c>
      <c r="C662">
        <v>0</v>
      </c>
      <c r="D662">
        <v>0</v>
      </c>
      <c r="E662">
        <v>71</v>
      </c>
      <c r="F662">
        <v>0</v>
      </c>
      <c r="G662">
        <v>0</v>
      </c>
      <c r="H662">
        <v>0</v>
      </c>
      <c r="I662" t="s">
        <v>22</v>
      </c>
      <c r="J662" t="s">
        <v>22</v>
      </c>
    </row>
    <row r="663" spans="1:10" x14ac:dyDescent="0.25">
      <c r="A663" t="s">
        <v>708</v>
      </c>
      <c r="B663" t="s">
        <v>465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 t="s">
        <v>22</v>
      </c>
      <c r="J663" t="s">
        <v>22</v>
      </c>
    </row>
    <row r="664" spans="1:10" x14ac:dyDescent="0.25">
      <c r="A664" t="s">
        <v>709</v>
      </c>
      <c r="B664" t="s">
        <v>710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 t="s">
        <v>22</v>
      </c>
      <c r="J664" t="s">
        <v>22</v>
      </c>
    </row>
    <row r="665" spans="1:10" x14ac:dyDescent="0.25">
      <c r="A665" t="s">
        <v>711</v>
      </c>
      <c r="B665" t="s">
        <v>471</v>
      </c>
      <c r="C665">
        <v>0</v>
      </c>
      <c r="D665">
        <v>9</v>
      </c>
      <c r="E665">
        <v>268</v>
      </c>
      <c r="F665">
        <v>200</v>
      </c>
      <c r="G665">
        <v>240</v>
      </c>
      <c r="H665">
        <v>0</v>
      </c>
      <c r="I665" t="s">
        <v>22</v>
      </c>
      <c r="J665" t="s">
        <v>22</v>
      </c>
    </row>
    <row r="666" spans="1:10" x14ac:dyDescent="0.25">
      <c r="A666" t="s">
        <v>712</v>
      </c>
      <c r="B666" t="s">
        <v>473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 t="s">
        <v>22</v>
      </c>
      <c r="J666" t="s">
        <v>22</v>
      </c>
    </row>
    <row r="667" spans="1:10" x14ac:dyDescent="0.25">
      <c r="A667" t="s">
        <v>713</v>
      </c>
      <c r="B667" t="s">
        <v>475</v>
      </c>
      <c r="C667">
        <v>190</v>
      </c>
      <c r="D667">
        <v>189</v>
      </c>
      <c r="E667" s="2">
        <v>4650</v>
      </c>
      <c r="F667" s="2">
        <v>1000</v>
      </c>
      <c r="G667">
        <v>963</v>
      </c>
      <c r="H667">
        <v>0</v>
      </c>
      <c r="I667" t="s">
        <v>22</v>
      </c>
      <c r="J667" t="s">
        <v>22</v>
      </c>
    </row>
    <row r="668" spans="1:10" x14ac:dyDescent="0.25">
      <c r="A668" t="s">
        <v>714</v>
      </c>
      <c r="B668" t="s">
        <v>477</v>
      </c>
      <c r="C668">
        <v>237</v>
      </c>
      <c r="D668">
        <v>0</v>
      </c>
      <c r="E668">
        <v>0</v>
      </c>
      <c r="F668" s="2">
        <v>3500</v>
      </c>
      <c r="G668">
        <v>0</v>
      </c>
      <c r="H668">
        <v>0</v>
      </c>
      <c r="I668" t="s">
        <v>22</v>
      </c>
      <c r="J668" t="s">
        <v>22</v>
      </c>
    </row>
    <row r="669" spans="1:10" x14ac:dyDescent="0.25">
      <c r="C669" t="s">
        <v>108</v>
      </c>
      <c r="D669" t="s">
        <v>108</v>
      </c>
      <c r="E669" t="s">
        <v>108</v>
      </c>
      <c r="F669" t="s">
        <v>108</v>
      </c>
      <c r="G669" t="s">
        <v>108</v>
      </c>
    </row>
    <row r="670" spans="1:10" x14ac:dyDescent="0.25">
      <c r="H670" t="s">
        <v>22</v>
      </c>
      <c r="I670" t="s">
        <v>22</v>
      </c>
      <c r="J670" t="s">
        <v>22</v>
      </c>
    </row>
    <row r="671" spans="1:10" x14ac:dyDescent="0.25">
      <c r="A671" t="s">
        <v>109</v>
      </c>
    </row>
    <row r="672" spans="1:10" x14ac:dyDescent="0.25">
      <c r="B672" t="s">
        <v>478</v>
      </c>
      <c r="C672" s="2">
        <v>1240</v>
      </c>
      <c r="D672" s="2">
        <v>2301</v>
      </c>
      <c r="E672" s="2">
        <v>8144</v>
      </c>
      <c r="F672" s="2">
        <v>8915</v>
      </c>
      <c r="G672" s="2">
        <v>2271</v>
      </c>
      <c r="H672">
        <v>0</v>
      </c>
    </row>
    <row r="674" spans="1:10" x14ac:dyDescent="0.25">
      <c r="A674" t="s">
        <v>489</v>
      </c>
    </row>
    <row r="675" spans="1:10" x14ac:dyDescent="0.25">
      <c r="A675" t="s">
        <v>18</v>
      </c>
    </row>
    <row r="676" spans="1:10" x14ac:dyDescent="0.25">
      <c r="A676" t="s">
        <v>715</v>
      </c>
      <c r="B676" t="s">
        <v>493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 t="s">
        <v>22</v>
      </c>
      <c r="J676" t="s">
        <v>22</v>
      </c>
    </row>
    <row r="677" spans="1:10" x14ac:dyDescent="0.25">
      <c r="A677" t="s">
        <v>716</v>
      </c>
      <c r="B677" t="s">
        <v>489</v>
      </c>
      <c r="C677" s="2">
        <v>1072</v>
      </c>
      <c r="D677">
        <v>481</v>
      </c>
      <c r="E677">
        <v>481</v>
      </c>
      <c r="F677" s="2">
        <v>1500</v>
      </c>
      <c r="G677" s="2">
        <v>1454</v>
      </c>
      <c r="H677">
        <v>0</v>
      </c>
      <c r="I677" t="s">
        <v>22</v>
      </c>
      <c r="J677" t="s">
        <v>22</v>
      </c>
    </row>
    <row r="678" spans="1:10" x14ac:dyDescent="0.25">
      <c r="A678" t="s">
        <v>717</v>
      </c>
      <c r="B678" t="s">
        <v>498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 t="s">
        <v>22</v>
      </c>
      <c r="J678" t="s">
        <v>22</v>
      </c>
    </row>
    <row r="679" spans="1:10" x14ac:dyDescent="0.25">
      <c r="A679" t="s">
        <v>718</v>
      </c>
      <c r="B679" t="s">
        <v>500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 t="s">
        <v>22</v>
      </c>
      <c r="J679" t="s">
        <v>22</v>
      </c>
    </row>
    <row r="680" spans="1:10" x14ac:dyDescent="0.25">
      <c r="C680" t="s">
        <v>108</v>
      </c>
      <c r="D680" t="s">
        <v>108</v>
      </c>
      <c r="E680" t="s">
        <v>108</v>
      </c>
      <c r="F680" t="s">
        <v>108</v>
      </c>
      <c r="G680" t="s">
        <v>108</v>
      </c>
    </row>
    <row r="681" spans="1:10" x14ac:dyDescent="0.25">
      <c r="H681" t="s">
        <v>22</v>
      </c>
      <c r="I681" t="s">
        <v>22</v>
      </c>
      <c r="J681" t="s">
        <v>22</v>
      </c>
    </row>
    <row r="682" spans="1:10" x14ac:dyDescent="0.25">
      <c r="A682" t="s">
        <v>109</v>
      </c>
    </row>
    <row r="683" spans="1:10" x14ac:dyDescent="0.25">
      <c r="B683" t="s">
        <v>489</v>
      </c>
      <c r="C683" s="2">
        <v>1072</v>
      </c>
      <c r="D683">
        <v>481</v>
      </c>
      <c r="E683">
        <v>481</v>
      </c>
      <c r="F683" s="2">
        <v>1500</v>
      </c>
      <c r="G683" s="2">
        <v>1454</v>
      </c>
      <c r="H683">
        <v>0</v>
      </c>
    </row>
    <row r="685" spans="1:10" x14ac:dyDescent="0.25">
      <c r="A685" t="s">
        <v>501</v>
      </c>
    </row>
    <row r="686" spans="1:10" x14ac:dyDescent="0.25">
      <c r="A686" t="s">
        <v>18</v>
      </c>
    </row>
    <row r="687" spans="1:10" x14ac:dyDescent="0.25">
      <c r="A687" t="s">
        <v>719</v>
      </c>
      <c r="B687" t="s">
        <v>503</v>
      </c>
      <c r="C687">
        <v>0</v>
      </c>
      <c r="D687">
        <v>0</v>
      </c>
      <c r="E687">
        <v>0</v>
      </c>
      <c r="F687">
        <v>0</v>
      </c>
      <c r="G687" s="2">
        <v>6411</v>
      </c>
      <c r="H687">
        <v>0</v>
      </c>
      <c r="I687" t="s">
        <v>22</v>
      </c>
      <c r="J687" t="s">
        <v>22</v>
      </c>
    </row>
    <row r="688" spans="1:10" x14ac:dyDescent="0.25">
      <c r="A688" t="s">
        <v>720</v>
      </c>
      <c r="B688" t="s">
        <v>721</v>
      </c>
      <c r="C688" s="2">
        <v>24198</v>
      </c>
      <c r="D688" s="2">
        <v>27296</v>
      </c>
      <c r="E688" s="2">
        <v>29910</v>
      </c>
      <c r="F688" s="2">
        <v>34000</v>
      </c>
      <c r="G688">
        <v>0</v>
      </c>
      <c r="H688">
        <v>0</v>
      </c>
      <c r="I688" t="s">
        <v>22</v>
      </c>
      <c r="J688" t="s">
        <v>22</v>
      </c>
    </row>
    <row r="689" spans="1:10" x14ac:dyDescent="0.25">
      <c r="A689" t="s">
        <v>722</v>
      </c>
      <c r="B689" t="s">
        <v>515</v>
      </c>
      <c r="C689" s="2">
        <v>31954</v>
      </c>
      <c r="D689" s="2">
        <v>39330</v>
      </c>
      <c r="E689" s="2">
        <v>50828</v>
      </c>
      <c r="F689" s="2">
        <v>55000</v>
      </c>
      <c r="G689" s="2">
        <v>39857</v>
      </c>
      <c r="H689">
        <v>0</v>
      </c>
      <c r="I689" t="s">
        <v>22</v>
      </c>
      <c r="J689" t="s">
        <v>22</v>
      </c>
    </row>
    <row r="690" spans="1:10" x14ac:dyDescent="0.25">
      <c r="A690" t="s">
        <v>723</v>
      </c>
      <c r="B690" t="s">
        <v>517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 t="s">
        <v>22</v>
      </c>
      <c r="J690" t="s">
        <v>22</v>
      </c>
    </row>
    <row r="691" spans="1:10" x14ac:dyDescent="0.25">
      <c r="A691" t="s">
        <v>724</v>
      </c>
      <c r="B691" t="s">
        <v>519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 t="s">
        <v>22</v>
      </c>
      <c r="J691" t="s">
        <v>22</v>
      </c>
    </row>
    <row r="692" spans="1:10" x14ac:dyDescent="0.25">
      <c r="A692" t="s">
        <v>725</v>
      </c>
      <c r="B692" t="s">
        <v>521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 t="s">
        <v>22</v>
      </c>
      <c r="J692" t="s">
        <v>22</v>
      </c>
    </row>
    <row r="693" spans="1:10" x14ac:dyDescent="0.25">
      <c r="C693" t="s">
        <v>108</v>
      </c>
      <c r="D693" t="s">
        <v>108</v>
      </c>
      <c r="E693" t="s">
        <v>108</v>
      </c>
      <c r="F693" t="s">
        <v>108</v>
      </c>
      <c r="G693" t="s">
        <v>108</v>
      </c>
    </row>
    <row r="694" spans="1:10" x14ac:dyDescent="0.25">
      <c r="H694" t="s">
        <v>22</v>
      </c>
      <c r="I694" t="s">
        <v>22</v>
      </c>
      <c r="J694" t="s">
        <v>22</v>
      </c>
    </row>
    <row r="695" spans="1:10" x14ac:dyDescent="0.25">
      <c r="A695" t="s">
        <v>109</v>
      </c>
    </row>
    <row r="696" spans="1:10" x14ac:dyDescent="0.25">
      <c r="B696" t="s">
        <v>501</v>
      </c>
      <c r="C696" s="2">
        <v>56152</v>
      </c>
      <c r="D696" s="2">
        <v>66626</v>
      </c>
      <c r="E696" s="2">
        <v>80737</v>
      </c>
      <c r="F696" s="2">
        <v>89000</v>
      </c>
      <c r="G696" s="2">
        <v>46269</v>
      </c>
      <c r="H696">
        <v>0</v>
      </c>
    </row>
    <row r="698" spans="1:10" x14ac:dyDescent="0.25">
      <c r="A698" t="s">
        <v>524</v>
      </c>
      <c r="B698" t="s">
        <v>525</v>
      </c>
    </row>
    <row r="699" spans="1:10" x14ac:dyDescent="0.25">
      <c r="A699" t="s">
        <v>18</v>
      </c>
      <c r="B699" t="s">
        <v>526</v>
      </c>
    </row>
    <row r="700" spans="1:10" x14ac:dyDescent="0.25">
      <c r="A700" t="s">
        <v>726</v>
      </c>
      <c r="B700" t="s">
        <v>534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 t="s">
        <v>22</v>
      </c>
      <c r="J700" t="s">
        <v>22</v>
      </c>
    </row>
    <row r="701" spans="1:10" x14ac:dyDescent="0.25">
      <c r="A701" t="s">
        <v>727</v>
      </c>
      <c r="B701" t="s">
        <v>728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 t="s">
        <v>22</v>
      </c>
      <c r="J701" t="s">
        <v>22</v>
      </c>
    </row>
    <row r="702" spans="1:10" x14ac:dyDescent="0.25">
      <c r="C702" t="s">
        <v>108</v>
      </c>
      <c r="D702" t="s">
        <v>108</v>
      </c>
      <c r="E702" t="s">
        <v>108</v>
      </c>
      <c r="F702" t="s">
        <v>108</v>
      </c>
      <c r="G702" t="s">
        <v>108</v>
      </c>
    </row>
    <row r="703" spans="1:10" x14ac:dyDescent="0.25">
      <c r="H703" t="s">
        <v>22</v>
      </c>
      <c r="I703" t="s">
        <v>22</v>
      </c>
      <c r="J703" t="s">
        <v>22</v>
      </c>
    </row>
    <row r="704" spans="1:10" x14ac:dyDescent="0.25">
      <c r="A704" t="s">
        <v>109</v>
      </c>
    </row>
    <row r="705" spans="1:10" x14ac:dyDescent="0.25">
      <c r="B705" t="s">
        <v>530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</row>
    <row r="706" spans="1:10" x14ac:dyDescent="0.25">
      <c r="A706" t="s">
        <v>18</v>
      </c>
      <c r="B706" t="s">
        <v>19</v>
      </c>
      <c r="C706" t="s">
        <v>20</v>
      </c>
      <c r="D706" t="s">
        <v>21</v>
      </c>
      <c r="E706" t="s">
        <v>26</v>
      </c>
    </row>
    <row r="707" spans="1:10" x14ac:dyDescent="0.25">
      <c r="E707" t="s">
        <v>339</v>
      </c>
      <c r="F707" t="s">
        <v>23</v>
      </c>
      <c r="G707" t="s">
        <v>24</v>
      </c>
      <c r="H707" t="s">
        <v>20</v>
      </c>
      <c r="I707" t="s">
        <v>24</v>
      </c>
      <c r="J707" t="s">
        <v>20</v>
      </c>
    </row>
    <row r="708" spans="1:10" x14ac:dyDescent="0.25">
      <c r="A708" t="s">
        <v>109</v>
      </c>
    </row>
    <row r="709" spans="1:10" x14ac:dyDescent="0.25">
      <c r="A709">
        <v>13</v>
      </c>
      <c r="B709" t="e">
        <f>-FINANCE</f>
        <v>#NAME?</v>
      </c>
      <c r="C709" s="2">
        <v>297442</v>
      </c>
      <c r="D709" s="2">
        <v>412205</v>
      </c>
      <c r="E709" s="2">
        <v>693093</v>
      </c>
      <c r="F709" s="2">
        <v>675039</v>
      </c>
      <c r="G709" s="2">
        <v>292420</v>
      </c>
      <c r="H709">
        <v>0</v>
      </c>
    </row>
    <row r="711" spans="1:10" x14ac:dyDescent="0.25">
      <c r="A711" t="s">
        <v>729</v>
      </c>
      <c r="B711" t="s">
        <v>730</v>
      </c>
    </row>
    <row r="712" spans="1:10" x14ac:dyDescent="0.25">
      <c r="A712" t="s">
        <v>389</v>
      </c>
      <c r="B712" t="s">
        <v>731</v>
      </c>
    </row>
    <row r="714" spans="1:10" x14ac:dyDescent="0.25">
      <c r="A714" t="s">
        <v>391</v>
      </c>
      <c r="B714" t="s">
        <v>392</v>
      </c>
    </row>
    <row r="715" spans="1:10" x14ac:dyDescent="0.25">
      <c r="A715" t="s">
        <v>18</v>
      </c>
      <c r="B715" t="s">
        <v>228</v>
      </c>
    </row>
    <row r="716" spans="1:10" x14ac:dyDescent="0.25">
      <c r="A716" t="s">
        <v>732</v>
      </c>
      <c r="B716" t="s">
        <v>569</v>
      </c>
      <c r="C716">
        <v>797</v>
      </c>
      <c r="D716">
        <v>918</v>
      </c>
      <c r="E716">
        <v>0</v>
      </c>
      <c r="F716">
        <v>0</v>
      </c>
      <c r="G716">
        <v>0</v>
      </c>
      <c r="H716">
        <v>0</v>
      </c>
      <c r="I716" t="s">
        <v>22</v>
      </c>
      <c r="J716" t="s">
        <v>22</v>
      </c>
    </row>
    <row r="717" spans="1:10" x14ac:dyDescent="0.25">
      <c r="A717" t="s">
        <v>733</v>
      </c>
      <c r="B717" t="s">
        <v>396</v>
      </c>
      <c r="C717">
        <v>9</v>
      </c>
      <c r="D717">
        <v>9</v>
      </c>
      <c r="E717">
        <v>117</v>
      </c>
      <c r="F717">
        <v>252</v>
      </c>
      <c r="G717">
        <v>117</v>
      </c>
      <c r="H717">
        <v>0</v>
      </c>
      <c r="I717" t="s">
        <v>22</v>
      </c>
      <c r="J717" t="s">
        <v>22</v>
      </c>
    </row>
    <row r="718" spans="1:10" x14ac:dyDescent="0.25">
      <c r="A718" t="s">
        <v>734</v>
      </c>
      <c r="B718" t="s">
        <v>398</v>
      </c>
      <c r="C718" s="2">
        <v>4724</v>
      </c>
      <c r="D718" s="2">
        <v>6325</v>
      </c>
      <c r="E718" s="2">
        <v>6636</v>
      </c>
      <c r="F718" s="2">
        <v>7694</v>
      </c>
      <c r="G718" s="2">
        <v>4901</v>
      </c>
      <c r="H718">
        <v>0</v>
      </c>
      <c r="I718" t="s">
        <v>22</v>
      </c>
      <c r="J718" t="s">
        <v>22</v>
      </c>
    </row>
    <row r="719" spans="1:10" x14ac:dyDescent="0.25">
      <c r="A719" t="s">
        <v>735</v>
      </c>
      <c r="B719" t="s">
        <v>400</v>
      </c>
      <c r="C719" s="2">
        <v>6048</v>
      </c>
      <c r="D719" s="2">
        <v>7858</v>
      </c>
      <c r="E719" s="2">
        <v>8335</v>
      </c>
      <c r="F719" s="2">
        <v>9545</v>
      </c>
      <c r="G719" s="2">
        <v>5315</v>
      </c>
      <c r="H719">
        <v>0</v>
      </c>
      <c r="I719" t="s">
        <v>22</v>
      </c>
      <c r="J719" t="s">
        <v>22</v>
      </c>
    </row>
    <row r="720" spans="1:10" x14ac:dyDescent="0.25">
      <c r="A720" t="s">
        <v>736</v>
      </c>
      <c r="B720" t="s">
        <v>402</v>
      </c>
      <c r="C720" s="2">
        <v>19909</v>
      </c>
      <c r="D720" s="2">
        <v>19306</v>
      </c>
      <c r="E720" s="2">
        <v>13693</v>
      </c>
      <c r="F720" s="2">
        <v>20538</v>
      </c>
      <c r="G720" s="2">
        <v>7005</v>
      </c>
      <c r="H720">
        <v>0</v>
      </c>
      <c r="I720" t="s">
        <v>22</v>
      </c>
      <c r="J720" t="s">
        <v>22</v>
      </c>
    </row>
    <row r="721" spans="1:10" x14ac:dyDescent="0.25">
      <c r="A721" t="s">
        <v>737</v>
      </c>
      <c r="B721" t="s">
        <v>404</v>
      </c>
      <c r="C721">
        <v>718</v>
      </c>
      <c r="D721">
        <v>717</v>
      </c>
      <c r="E721">
        <v>442</v>
      </c>
      <c r="F721">
        <v>654</v>
      </c>
      <c r="G721">
        <v>380</v>
      </c>
      <c r="H721">
        <v>0</v>
      </c>
      <c r="I721" t="s">
        <v>22</v>
      </c>
      <c r="J721" t="s">
        <v>22</v>
      </c>
    </row>
    <row r="722" spans="1:10" x14ac:dyDescent="0.25">
      <c r="A722" t="s">
        <v>738</v>
      </c>
      <c r="B722" t="s">
        <v>406</v>
      </c>
      <c r="C722">
        <v>442</v>
      </c>
      <c r="D722" s="2">
        <v>1160</v>
      </c>
      <c r="E722">
        <v>442</v>
      </c>
      <c r="F722">
        <v>486</v>
      </c>
      <c r="G722" s="2">
        <v>1007</v>
      </c>
      <c r="H722">
        <v>0</v>
      </c>
      <c r="I722" t="s">
        <v>22</v>
      </c>
      <c r="J722" t="s">
        <v>22</v>
      </c>
    </row>
    <row r="723" spans="1:10" x14ac:dyDescent="0.25">
      <c r="A723" t="s">
        <v>739</v>
      </c>
      <c r="B723" t="s">
        <v>740</v>
      </c>
      <c r="C723" s="2">
        <v>69035</v>
      </c>
      <c r="D723" s="2">
        <v>89932</v>
      </c>
      <c r="E723" s="2">
        <v>90645</v>
      </c>
      <c r="F723" s="2">
        <v>95303</v>
      </c>
      <c r="G723" s="2">
        <v>63749</v>
      </c>
      <c r="H723">
        <v>0</v>
      </c>
      <c r="I723" t="s">
        <v>22</v>
      </c>
      <c r="J723" t="s">
        <v>22</v>
      </c>
    </row>
    <row r="724" spans="1:10" x14ac:dyDescent="0.25">
      <c r="A724" t="s">
        <v>741</v>
      </c>
      <c r="B724" t="s">
        <v>422</v>
      </c>
      <c r="C724" s="2">
        <v>4200</v>
      </c>
      <c r="D724" s="2">
        <v>4200</v>
      </c>
      <c r="E724" s="2">
        <v>2524</v>
      </c>
      <c r="F724" s="2">
        <v>4200</v>
      </c>
      <c r="G724">
        <v>0</v>
      </c>
      <c r="H724">
        <v>0</v>
      </c>
      <c r="I724" t="s">
        <v>22</v>
      </c>
      <c r="J724" t="s">
        <v>22</v>
      </c>
    </row>
    <row r="725" spans="1:10" x14ac:dyDescent="0.25">
      <c r="A725" t="s">
        <v>742</v>
      </c>
      <c r="B725" t="s">
        <v>690</v>
      </c>
      <c r="C725">
        <v>69</v>
      </c>
      <c r="D725">
        <v>104</v>
      </c>
      <c r="E725">
        <v>138</v>
      </c>
      <c r="F725">
        <v>-68</v>
      </c>
      <c r="G725">
        <v>35</v>
      </c>
      <c r="H725">
        <v>0</v>
      </c>
      <c r="I725" t="s">
        <v>22</v>
      </c>
      <c r="J725" t="s">
        <v>22</v>
      </c>
    </row>
    <row r="726" spans="1:10" x14ac:dyDescent="0.25">
      <c r="A726" t="s">
        <v>743</v>
      </c>
      <c r="B726" t="s">
        <v>426</v>
      </c>
      <c r="C726">
        <v>405</v>
      </c>
      <c r="D726">
        <v>405</v>
      </c>
      <c r="E726">
        <v>405</v>
      </c>
      <c r="F726">
        <v>405</v>
      </c>
      <c r="G726">
        <v>0</v>
      </c>
      <c r="H726">
        <v>0</v>
      </c>
      <c r="I726" t="s">
        <v>22</v>
      </c>
      <c r="J726" t="s">
        <v>22</v>
      </c>
    </row>
    <row r="727" spans="1:10" x14ac:dyDescent="0.25">
      <c r="A727" t="s">
        <v>744</v>
      </c>
      <c r="B727" t="s">
        <v>428</v>
      </c>
      <c r="C727">
        <v>600</v>
      </c>
      <c r="D727">
        <v>600</v>
      </c>
      <c r="E727">
        <v>361</v>
      </c>
      <c r="F727">
        <v>600</v>
      </c>
      <c r="G727">
        <v>369</v>
      </c>
      <c r="H727">
        <v>0</v>
      </c>
      <c r="I727" t="s">
        <v>22</v>
      </c>
      <c r="J727" t="s">
        <v>22</v>
      </c>
    </row>
    <row r="728" spans="1:10" x14ac:dyDescent="0.25">
      <c r="A728" t="s">
        <v>745</v>
      </c>
      <c r="B728" t="s">
        <v>430</v>
      </c>
      <c r="C728">
        <v>35</v>
      </c>
      <c r="D728">
        <v>35</v>
      </c>
      <c r="E728">
        <v>35</v>
      </c>
      <c r="F728">
        <v>35</v>
      </c>
      <c r="G728">
        <v>35</v>
      </c>
      <c r="H728">
        <v>0</v>
      </c>
      <c r="I728" t="s">
        <v>22</v>
      </c>
      <c r="J728" t="s">
        <v>22</v>
      </c>
    </row>
    <row r="729" spans="1:10" x14ac:dyDescent="0.25">
      <c r="A729" t="s">
        <v>746</v>
      </c>
      <c r="B729" t="s">
        <v>747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 t="s">
        <v>22</v>
      </c>
      <c r="J729" t="s">
        <v>22</v>
      </c>
    </row>
    <row r="730" spans="1:10" x14ac:dyDescent="0.25">
      <c r="A730" t="s">
        <v>110</v>
      </c>
    </row>
    <row r="731" spans="1:10" x14ac:dyDescent="0.25">
      <c r="A731" s="1">
        <v>43991</v>
      </c>
      <c r="B731" t="s">
        <v>111</v>
      </c>
      <c r="D731" t="s">
        <v>112</v>
      </c>
      <c r="E731" t="s">
        <v>113</v>
      </c>
      <c r="F731" t="s">
        <v>114</v>
      </c>
      <c r="J731" t="s">
        <v>748</v>
      </c>
    </row>
    <row r="732" spans="1:10" x14ac:dyDescent="0.25">
      <c r="D732" t="s">
        <v>116</v>
      </c>
      <c r="E732" t="s">
        <v>117</v>
      </c>
      <c r="F732" t="s">
        <v>118</v>
      </c>
    </row>
    <row r="733" spans="1:10" x14ac:dyDescent="0.25">
      <c r="D733" t="s">
        <v>119</v>
      </c>
      <c r="E733" t="s">
        <v>120</v>
      </c>
      <c r="F733" t="s">
        <v>121</v>
      </c>
    </row>
    <row r="734" spans="1:10" x14ac:dyDescent="0.25">
      <c r="A734" t="s">
        <v>122</v>
      </c>
      <c r="B734" t="s">
        <v>123</v>
      </c>
    </row>
    <row r="735" spans="1:10" x14ac:dyDescent="0.25">
      <c r="A735" t="s">
        <v>386</v>
      </c>
    </row>
    <row r="736" spans="1:10" x14ac:dyDescent="0.25">
      <c r="F736" t="s">
        <v>2</v>
      </c>
      <c r="G736" t="s">
        <v>3</v>
      </c>
      <c r="H736" t="s">
        <v>4</v>
      </c>
      <c r="I736" t="s">
        <v>5</v>
      </c>
      <c r="J736" t="s">
        <v>6</v>
      </c>
    </row>
    <row r="737" spans="1:10" x14ac:dyDescent="0.25">
      <c r="C737" t="s">
        <v>7</v>
      </c>
      <c r="D737" t="s">
        <v>8</v>
      </c>
      <c r="E737" t="s">
        <v>9</v>
      </c>
      <c r="F737" t="s">
        <v>10</v>
      </c>
      <c r="G737" t="s">
        <v>124</v>
      </c>
      <c r="H737" t="s">
        <v>12</v>
      </c>
      <c r="I737" t="s">
        <v>13</v>
      </c>
      <c r="J737" t="s">
        <v>14</v>
      </c>
    </row>
    <row r="738" spans="1:10" x14ac:dyDescent="0.25">
      <c r="C738" t="s">
        <v>15</v>
      </c>
      <c r="D738" t="s">
        <v>15</v>
      </c>
      <c r="E738" t="s">
        <v>15</v>
      </c>
      <c r="F738" t="s">
        <v>16</v>
      </c>
      <c r="G738" t="s">
        <v>15</v>
      </c>
      <c r="H738" t="s">
        <v>17</v>
      </c>
      <c r="I738" t="s">
        <v>16</v>
      </c>
      <c r="J738" t="s">
        <v>16</v>
      </c>
    </row>
    <row r="739" spans="1:10" x14ac:dyDescent="0.25">
      <c r="A739" t="s">
        <v>18</v>
      </c>
      <c r="B739" t="s">
        <v>19</v>
      </c>
      <c r="C739" t="s">
        <v>20</v>
      </c>
      <c r="D739" t="s">
        <v>21</v>
      </c>
      <c r="E739" t="s">
        <v>22</v>
      </c>
      <c r="F739" t="s">
        <v>23</v>
      </c>
      <c r="G739" t="s">
        <v>24</v>
      </c>
      <c r="H739" t="s">
        <v>20</v>
      </c>
      <c r="I739" t="s">
        <v>24</v>
      </c>
      <c r="J739" t="s">
        <v>20</v>
      </c>
    </row>
    <row r="740" spans="1:10" x14ac:dyDescent="0.25">
      <c r="A740" t="s">
        <v>749</v>
      </c>
      <c r="B740" t="s">
        <v>434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 t="s">
        <v>22</v>
      </c>
      <c r="J740" t="s">
        <v>22</v>
      </c>
    </row>
    <row r="741" spans="1:10" x14ac:dyDescent="0.25">
      <c r="A741" t="s">
        <v>750</v>
      </c>
      <c r="B741" t="s">
        <v>436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 t="s">
        <v>22</v>
      </c>
      <c r="J741" t="s">
        <v>22</v>
      </c>
    </row>
    <row r="742" spans="1:10" x14ac:dyDescent="0.25">
      <c r="A742" t="s">
        <v>751</v>
      </c>
      <c r="B742" t="s">
        <v>607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 t="s">
        <v>22</v>
      </c>
      <c r="J742" t="s">
        <v>22</v>
      </c>
    </row>
    <row r="743" spans="1:10" x14ac:dyDescent="0.25">
      <c r="C743" t="s">
        <v>108</v>
      </c>
      <c r="D743" t="s">
        <v>108</v>
      </c>
      <c r="E743" t="s">
        <v>108</v>
      </c>
      <c r="F743" t="s">
        <v>108</v>
      </c>
      <c r="G743" t="s">
        <v>108</v>
      </c>
    </row>
    <row r="744" spans="1:10" x14ac:dyDescent="0.25">
      <c r="H744" t="s">
        <v>22</v>
      </c>
      <c r="I744" t="s">
        <v>22</v>
      </c>
      <c r="J744" t="s">
        <v>22</v>
      </c>
    </row>
    <row r="745" spans="1:10" x14ac:dyDescent="0.25">
      <c r="A745" t="s">
        <v>109</v>
      </c>
    </row>
    <row r="746" spans="1:10" x14ac:dyDescent="0.25">
      <c r="B746" t="s">
        <v>441</v>
      </c>
      <c r="C746" s="2">
        <v>106990</v>
      </c>
      <c r="D746" s="2">
        <v>131568</v>
      </c>
      <c r="E746" s="2">
        <v>123772</v>
      </c>
      <c r="F746" s="2">
        <v>139643</v>
      </c>
      <c r="G746" s="2">
        <v>82912</v>
      </c>
      <c r="H746">
        <v>0</v>
      </c>
    </row>
    <row r="748" spans="1:10" x14ac:dyDescent="0.25">
      <c r="A748" t="s">
        <v>442</v>
      </c>
      <c r="B748" t="s">
        <v>443</v>
      </c>
    </row>
    <row r="749" spans="1:10" x14ac:dyDescent="0.25">
      <c r="A749" t="s">
        <v>18</v>
      </c>
      <c r="B749" t="s">
        <v>21</v>
      </c>
    </row>
    <row r="750" spans="1:10" x14ac:dyDescent="0.25">
      <c r="A750" t="s">
        <v>752</v>
      </c>
      <c r="B750" t="s">
        <v>445</v>
      </c>
      <c r="C750">
        <v>0</v>
      </c>
      <c r="D750">
        <v>0</v>
      </c>
      <c r="E750" s="2">
        <v>5000</v>
      </c>
      <c r="F750">
        <v>0</v>
      </c>
      <c r="G750">
        <v>0</v>
      </c>
      <c r="H750">
        <v>0</v>
      </c>
      <c r="I750" t="s">
        <v>22</v>
      </c>
      <c r="J750" t="s">
        <v>22</v>
      </c>
    </row>
    <row r="751" spans="1:10" x14ac:dyDescent="0.25">
      <c r="A751" t="s">
        <v>753</v>
      </c>
      <c r="B751" t="s">
        <v>447</v>
      </c>
      <c r="C751">
        <v>0</v>
      </c>
      <c r="D751">
        <v>0</v>
      </c>
      <c r="E751">
        <v>0</v>
      </c>
      <c r="F751">
        <v>0</v>
      </c>
      <c r="G751">
        <v>86</v>
      </c>
      <c r="H751">
        <v>0</v>
      </c>
      <c r="I751" t="s">
        <v>22</v>
      </c>
      <c r="J751" t="s">
        <v>22</v>
      </c>
    </row>
    <row r="752" spans="1:10" x14ac:dyDescent="0.25">
      <c r="A752" t="s">
        <v>754</v>
      </c>
      <c r="B752" t="s">
        <v>449</v>
      </c>
      <c r="C752">
        <v>0</v>
      </c>
      <c r="D752">
        <v>0</v>
      </c>
      <c r="E752">
        <v>0</v>
      </c>
      <c r="F752">
        <v>500</v>
      </c>
      <c r="G752">
        <v>0</v>
      </c>
      <c r="H752">
        <v>0</v>
      </c>
      <c r="I752" t="s">
        <v>22</v>
      </c>
      <c r="J752" t="s">
        <v>22</v>
      </c>
    </row>
    <row r="753" spans="1:10" x14ac:dyDescent="0.25">
      <c r="A753" t="s">
        <v>755</v>
      </c>
      <c r="B753" t="s">
        <v>451</v>
      </c>
      <c r="C753">
        <v>0</v>
      </c>
      <c r="D753">
        <v>688</v>
      </c>
      <c r="E753">
        <v>0</v>
      </c>
      <c r="F753" s="2">
        <v>7000</v>
      </c>
      <c r="G753">
        <v>7</v>
      </c>
      <c r="H753">
        <v>0</v>
      </c>
      <c r="I753" t="s">
        <v>22</v>
      </c>
      <c r="J753" t="s">
        <v>22</v>
      </c>
    </row>
    <row r="754" spans="1:10" x14ac:dyDescent="0.25">
      <c r="A754" t="s">
        <v>756</v>
      </c>
      <c r="B754" t="s">
        <v>457</v>
      </c>
      <c r="C754">
        <v>0</v>
      </c>
      <c r="D754">
        <v>279</v>
      </c>
      <c r="E754">
        <v>299</v>
      </c>
      <c r="F754">
        <v>300</v>
      </c>
      <c r="G754">
        <v>135</v>
      </c>
      <c r="H754">
        <v>0</v>
      </c>
      <c r="I754" t="s">
        <v>22</v>
      </c>
      <c r="J754" t="s">
        <v>22</v>
      </c>
    </row>
    <row r="755" spans="1:10" x14ac:dyDescent="0.25">
      <c r="A755" t="s">
        <v>757</v>
      </c>
      <c r="B755" t="s">
        <v>459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 t="s">
        <v>22</v>
      </c>
      <c r="J755" t="s">
        <v>22</v>
      </c>
    </row>
    <row r="756" spans="1:10" x14ac:dyDescent="0.25">
      <c r="A756" t="s">
        <v>758</v>
      </c>
      <c r="B756" t="s">
        <v>461</v>
      </c>
      <c r="C756">
        <v>840</v>
      </c>
      <c r="D756">
        <v>0</v>
      </c>
      <c r="E756">
        <v>0</v>
      </c>
      <c r="F756">
        <v>0</v>
      </c>
      <c r="G756">
        <v>0</v>
      </c>
      <c r="H756">
        <v>0</v>
      </c>
      <c r="I756" t="s">
        <v>22</v>
      </c>
      <c r="J756" t="s">
        <v>22</v>
      </c>
    </row>
    <row r="757" spans="1:10" x14ac:dyDescent="0.25">
      <c r="A757" t="s">
        <v>759</v>
      </c>
      <c r="B757" t="s">
        <v>547</v>
      </c>
      <c r="C757">
        <v>0</v>
      </c>
      <c r="D757" s="2">
        <v>3372</v>
      </c>
      <c r="E757" s="2">
        <v>7365</v>
      </c>
      <c r="F757" s="2">
        <v>12000</v>
      </c>
      <c r="G757" s="2">
        <v>6110</v>
      </c>
      <c r="H757">
        <v>0</v>
      </c>
      <c r="I757" t="s">
        <v>22</v>
      </c>
      <c r="J757" t="s">
        <v>22</v>
      </c>
    </row>
    <row r="758" spans="1:10" x14ac:dyDescent="0.25">
      <c r="A758" t="s">
        <v>760</v>
      </c>
      <c r="B758" t="s">
        <v>475</v>
      </c>
      <c r="C758" s="2">
        <v>9182</v>
      </c>
      <c r="D758">
        <v>321</v>
      </c>
      <c r="E758" s="2">
        <v>1519</v>
      </c>
      <c r="F758" s="2">
        <v>1000</v>
      </c>
      <c r="G758">
        <v>0</v>
      </c>
      <c r="H758">
        <v>0</v>
      </c>
      <c r="I758" t="s">
        <v>22</v>
      </c>
      <c r="J758" t="s">
        <v>22</v>
      </c>
    </row>
    <row r="759" spans="1:10" x14ac:dyDescent="0.25">
      <c r="A759" t="s">
        <v>761</v>
      </c>
      <c r="B759" t="s">
        <v>762</v>
      </c>
      <c r="C759">
        <v>0</v>
      </c>
      <c r="D759">
        <v>0</v>
      </c>
      <c r="E759">
        <v>0</v>
      </c>
      <c r="F759">
        <v>500</v>
      </c>
      <c r="G759">
        <v>0</v>
      </c>
      <c r="H759">
        <v>0</v>
      </c>
      <c r="I759" t="s">
        <v>22</v>
      </c>
      <c r="J759" t="s">
        <v>22</v>
      </c>
    </row>
    <row r="760" spans="1:10" x14ac:dyDescent="0.25">
      <c r="C760" t="s">
        <v>108</v>
      </c>
      <c r="D760" t="s">
        <v>108</v>
      </c>
      <c r="E760" t="s">
        <v>108</v>
      </c>
      <c r="F760" t="s">
        <v>108</v>
      </c>
      <c r="G760" t="s">
        <v>108</v>
      </c>
    </row>
    <row r="761" spans="1:10" x14ac:dyDescent="0.25">
      <c r="H761" t="s">
        <v>22</v>
      </c>
      <c r="I761" t="s">
        <v>22</v>
      </c>
      <c r="J761" t="s">
        <v>22</v>
      </c>
    </row>
    <row r="762" spans="1:10" x14ac:dyDescent="0.25">
      <c r="A762" t="s">
        <v>109</v>
      </c>
    </row>
    <row r="763" spans="1:10" x14ac:dyDescent="0.25">
      <c r="B763" t="s">
        <v>478</v>
      </c>
      <c r="C763" s="2">
        <v>10022</v>
      </c>
      <c r="D763" s="2">
        <v>4660</v>
      </c>
      <c r="E763" s="2">
        <v>14184</v>
      </c>
      <c r="F763" s="2">
        <v>21300</v>
      </c>
      <c r="G763" s="2">
        <v>6338</v>
      </c>
      <c r="H763">
        <v>0</v>
      </c>
    </row>
    <row r="765" spans="1:10" x14ac:dyDescent="0.25">
      <c r="A765" t="s">
        <v>489</v>
      </c>
    </row>
    <row r="766" spans="1:10" x14ac:dyDescent="0.25">
      <c r="A766" t="s">
        <v>18</v>
      </c>
    </row>
    <row r="767" spans="1:10" x14ac:dyDescent="0.25">
      <c r="A767" t="s">
        <v>763</v>
      </c>
      <c r="B767" t="s">
        <v>493</v>
      </c>
      <c r="C767">
        <v>9</v>
      </c>
      <c r="D767">
        <v>0</v>
      </c>
      <c r="E767">
        <v>30</v>
      </c>
      <c r="F767">
        <v>0</v>
      </c>
      <c r="G767">
        <v>0</v>
      </c>
      <c r="H767">
        <v>0</v>
      </c>
      <c r="I767" t="s">
        <v>22</v>
      </c>
      <c r="J767" t="s">
        <v>22</v>
      </c>
    </row>
    <row r="768" spans="1:10" x14ac:dyDescent="0.25">
      <c r="A768" t="s">
        <v>764</v>
      </c>
      <c r="B768" t="s">
        <v>489</v>
      </c>
      <c r="C768">
        <v>498</v>
      </c>
      <c r="D768" s="2">
        <v>1134</v>
      </c>
      <c r="E768" s="2">
        <v>1020</v>
      </c>
      <c r="F768" s="2">
        <v>1500</v>
      </c>
      <c r="G768">
        <v>304</v>
      </c>
      <c r="H768">
        <v>0</v>
      </c>
      <c r="I768" t="s">
        <v>22</v>
      </c>
      <c r="J768" t="s">
        <v>22</v>
      </c>
    </row>
    <row r="769" spans="1:10" x14ac:dyDescent="0.25">
      <c r="A769" t="s">
        <v>765</v>
      </c>
      <c r="B769" t="s">
        <v>766</v>
      </c>
      <c r="C769">
        <v>0</v>
      </c>
      <c r="D769" s="2">
        <v>2841</v>
      </c>
      <c r="E769" s="2">
        <v>5044</v>
      </c>
      <c r="F769" s="2">
        <v>4000</v>
      </c>
      <c r="G769" s="2">
        <v>1597</v>
      </c>
      <c r="H769">
        <v>0</v>
      </c>
      <c r="I769" t="s">
        <v>22</v>
      </c>
      <c r="J769" t="s">
        <v>22</v>
      </c>
    </row>
    <row r="770" spans="1:10" x14ac:dyDescent="0.25">
      <c r="A770" t="s">
        <v>767</v>
      </c>
      <c r="B770" t="s">
        <v>498</v>
      </c>
      <c r="C770">
        <v>0</v>
      </c>
      <c r="D770">
        <v>0</v>
      </c>
      <c r="E770">
        <v>0</v>
      </c>
      <c r="F770">
        <v>0</v>
      </c>
      <c r="G770">
        <v>0</v>
      </c>
      <c r="H770">
        <v>0</v>
      </c>
      <c r="I770" t="s">
        <v>22</v>
      </c>
      <c r="J770" t="s">
        <v>22</v>
      </c>
    </row>
    <row r="771" spans="1:10" x14ac:dyDescent="0.25">
      <c r="A771" t="s">
        <v>768</v>
      </c>
      <c r="B771" t="s">
        <v>500</v>
      </c>
      <c r="C771">
        <v>0</v>
      </c>
      <c r="D771">
        <v>0</v>
      </c>
      <c r="E771">
        <v>0</v>
      </c>
      <c r="F771">
        <v>0</v>
      </c>
      <c r="G771">
        <v>0</v>
      </c>
      <c r="H771">
        <v>0</v>
      </c>
      <c r="I771" t="s">
        <v>22</v>
      </c>
      <c r="J771" t="s">
        <v>22</v>
      </c>
    </row>
    <row r="772" spans="1:10" x14ac:dyDescent="0.25">
      <c r="C772" t="s">
        <v>108</v>
      </c>
      <c r="D772" t="s">
        <v>108</v>
      </c>
      <c r="E772" t="s">
        <v>108</v>
      </c>
      <c r="F772" t="s">
        <v>108</v>
      </c>
      <c r="G772" t="s">
        <v>108</v>
      </c>
    </row>
    <row r="773" spans="1:10" x14ac:dyDescent="0.25">
      <c r="H773" t="s">
        <v>22</v>
      </c>
      <c r="I773" t="s">
        <v>22</v>
      </c>
      <c r="J773" t="s">
        <v>22</v>
      </c>
    </row>
    <row r="774" spans="1:10" x14ac:dyDescent="0.25">
      <c r="A774" t="s">
        <v>109</v>
      </c>
    </row>
    <row r="775" spans="1:10" x14ac:dyDescent="0.25">
      <c r="B775" t="s">
        <v>489</v>
      </c>
      <c r="C775">
        <v>507</v>
      </c>
      <c r="D775" s="2">
        <v>3975</v>
      </c>
      <c r="E775" s="2">
        <v>6095</v>
      </c>
      <c r="F775" s="2">
        <v>5500</v>
      </c>
      <c r="G775" s="2">
        <v>1901</v>
      </c>
      <c r="H775">
        <v>0</v>
      </c>
    </row>
    <row r="777" spans="1:10" x14ac:dyDescent="0.25">
      <c r="A777" t="s">
        <v>501</v>
      </c>
    </row>
    <row r="778" spans="1:10" x14ac:dyDescent="0.25">
      <c r="A778" t="s">
        <v>18</v>
      </c>
    </row>
    <row r="779" spans="1:10" x14ac:dyDescent="0.25">
      <c r="A779" t="s">
        <v>769</v>
      </c>
      <c r="B779" t="s">
        <v>503</v>
      </c>
      <c r="C779" s="2">
        <v>37152</v>
      </c>
      <c r="D779" s="2">
        <v>27258</v>
      </c>
      <c r="E779" s="2">
        <v>19741</v>
      </c>
      <c r="F779" s="2">
        <v>20000</v>
      </c>
      <c r="G779" s="2">
        <v>9764</v>
      </c>
      <c r="H779">
        <v>0</v>
      </c>
      <c r="I779" t="s">
        <v>22</v>
      </c>
      <c r="J779" t="s">
        <v>22</v>
      </c>
    </row>
    <row r="780" spans="1:10" x14ac:dyDescent="0.25">
      <c r="A780" t="s">
        <v>770</v>
      </c>
      <c r="B780" t="s">
        <v>507</v>
      </c>
      <c r="C780">
        <v>31</v>
      </c>
      <c r="D780">
        <v>0</v>
      </c>
      <c r="E780">
        <v>0</v>
      </c>
      <c r="F780">
        <v>0</v>
      </c>
      <c r="G780">
        <v>0</v>
      </c>
      <c r="H780">
        <v>0</v>
      </c>
      <c r="I780" t="s">
        <v>22</v>
      </c>
      <c r="J780" t="s">
        <v>22</v>
      </c>
    </row>
    <row r="781" spans="1:10" x14ac:dyDescent="0.25">
      <c r="A781" t="s">
        <v>771</v>
      </c>
      <c r="B781" t="s">
        <v>517</v>
      </c>
      <c r="C781">
        <v>200</v>
      </c>
      <c r="D781">
        <v>723</v>
      </c>
      <c r="E781">
        <v>195</v>
      </c>
      <c r="F781" s="2">
        <v>4000</v>
      </c>
      <c r="G781">
        <v>0</v>
      </c>
      <c r="H781">
        <v>0</v>
      </c>
      <c r="I781" t="s">
        <v>22</v>
      </c>
      <c r="J781" t="s">
        <v>22</v>
      </c>
    </row>
    <row r="782" spans="1:10" x14ac:dyDescent="0.25">
      <c r="A782" t="s">
        <v>772</v>
      </c>
      <c r="B782" t="s">
        <v>519</v>
      </c>
      <c r="C782">
        <v>0</v>
      </c>
      <c r="D782">
        <v>0</v>
      </c>
      <c r="E782">
        <v>560</v>
      </c>
      <c r="F782" s="2">
        <v>5000</v>
      </c>
      <c r="G782">
        <v>0</v>
      </c>
      <c r="H782">
        <v>0</v>
      </c>
      <c r="I782" t="s">
        <v>22</v>
      </c>
      <c r="J782" t="s">
        <v>22</v>
      </c>
    </row>
    <row r="783" spans="1:10" x14ac:dyDescent="0.25">
      <c r="A783" t="s">
        <v>773</v>
      </c>
      <c r="B783" t="s">
        <v>521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 t="s">
        <v>22</v>
      </c>
      <c r="J783" t="s">
        <v>22</v>
      </c>
    </row>
    <row r="784" spans="1:10" x14ac:dyDescent="0.25">
      <c r="A784" t="s">
        <v>774</v>
      </c>
      <c r="B784" t="s">
        <v>775</v>
      </c>
      <c r="C784">
        <v>0</v>
      </c>
      <c r="D784">
        <v>0</v>
      </c>
      <c r="E784" s="2">
        <v>7554</v>
      </c>
      <c r="F784" s="2">
        <v>7000</v>
      </c>
      <c r="G784">
        <v>0</v>
      </c>
      <c r="H784">
        <v>0</v>
      </c>
      <c r="I784" t="s">
        <v>22</v>
      </c>
      <c r="J784" t="s">
        <v>22</v>
      </c>
    </row>
    <row r="785" spans="1:10" x14ac:dyDescent="0.25">
      <c r="C785" t="s">
        <v>108</v>
      </c>
      <c r="D785" t="s">
        <v>108</v>
      </c>
      <c r="E785" t="s">
        <v>108</v>
      </c>
      <c r="F785" t="s">
        <v>108</v>
      </c>
      <c r="G785" t="s">
        <v>108</v>
      </c>
    </row>
    <row r="786" spans="1:10" x14ac:dyDescent="0.25">
      <c r="H786" t="s">
        <v>22</v>
      </c>
      <c r="I786" t="s">
        <v>22</v>
      </c>
      <c r="J786" t="s">
        <v>22</v>
      </c>
    </row>
    <row r="787" spans="1:10" x14ac:dyDescent="0.25">
      <c r="A787" t="s">
        <v>109</v>
      </c>
    </row>
    <row r="788" spans="1:10" x14ac:dyDescent="0.25">
      <c r="B788" t="s">
        <v>501</v>
      </c>
      <c r="C788" s="2">
        <v>37383</v>
      </c>
      <c r="D788" s="2">
        <v>27980</v>
      </c>
      <c r="E788" s="2">
        <v>28050</v>
      </c>
      <c r="F788" s="2">
        <v>36000</v>
      </c>
      <c r="G788" s="2">
        <v>9764</v>
      </c>
      <c r="H788">
        <v>0</v>
      </c>
    </row>
    <row r="790" spans="1:10" x14ac:dyDescent="0.25">
      <c r="A790" t="s">
        <v>524</v>
      </c>
      <c r="B790" t="s">
        <v>525</v>
      </c>
    </row>
    <row r="791" spans="1:10" x14ac:dyDescent="0.25">
      <c r="A791" t="s">
        <v>18</v>
      </c>
      <c r="B791" t="s">
        <v>526</v>
      </c>
    </row>
    <row r="792" spans="1:10" x14ac:dyDescent="0.25">
      <c r="A792" t="s">
        <v>776</v>
      </c>
      <c r="B792" t="s">
        <v>534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 t="s">
        <v>22</v>
      </c>
      <c r="J792" t="s">
        <v>22</v>
      </c>
    </row>
    <row r="793" spans="1:10" x14ac:dyDescent="0.25">
      <c r="A793" t="s">
        <v>777</v>
      </c>
      <c r="B793" t="s">
        <v>728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 t="s">
        <v>22</v>
      </c>
      <c r="J793" t="s">
        <v>22</v>
      </c>
    </row>
    <row r="794" spans="1:10" x14ac:dyDescent="0.25">
      <c r="C794" t="s">
        <v>108</v>
      </c>
      <c r="D794" t="s">
        <v>108</v>
      </c>
      <c r="E794" t="s">
        <v>108</v>
      </c>
      <c r="F794" t="s">
        <v>108</v>
      </c>
      <c r="G794" t="s">
        <v>108</v>
      </c>
    </row>
    <row r="795" spans="1:10" x14ac:dyDescent="0.25">
      <c r="H795" t="s">
        <v>22</v>
      </c>
      <c r="I795" t="s">
        <v>22</v>
      </c>
      <c r="J795" t="s">
        <v>22</v>
      </c>
    </row>
    <row r="796" spans="1:10" x14ac:dyDescent="0.25">
      <c r="A796" t="s">
        <v>109</v>
      </c>
    </row>
    <row r="797" spans="1:10" x14ac:dyDescent="0.25">
      <c r="B797" t="s">
        <v>530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0</v>
      </c>
    </row>
    <row r="798" spans="1:10" x14ac:dyDescent="0.25">
      <c r="A798" t="s">
        <v>18</v>
      </c>
      <c r="B798" t="s">
        <v>19</v>
      </c>
      <c r="C798" t="s">
        <v>20</v>
      </c>
      <c r="D798" t="s">
        <v>21</v>
      </c>
      <c r="E798" t="s">
        <v>26</v>
      </c>
    </row>
    <row r="799" spans="1:10" x14ac:dyDescent="0.25">
      <c r="E799" t="s">
        <v>339</v>
      </c>
      <c r="F799" t="s">
        <v>23</v>
      </c>
      <c r="G799" t="s">
        <v>24</v>
      </c>
      <c r="H799" t="s">
        <v>20</v>
      </c>
      <c r="I799" t="s">
        <v>24</v>
      </c>
      <c r="J799" t="s">
        <v>20</v>
      </c>
    </row>
    <row r="800" spans="1:10" x14ac:dyDescent="0.25">
      <c r="A800" t="s">
        <v>109</v>
      </c>
    </row>
    <row r="801" spans="1:10" x14ac:dyDescent="0.25">
      <c r="A801">
        <v>14</v>
      </c>
      <c r="B801" t="e">
        <f>-HUMAN RESOURSES</f>
        <v>#NAME?</v>
      </c>
      <c r="C801" s="2">
        <v>154901</v>
      </c>
      <c r="D801" s="2">
        <v>168183</v>
      </c>
      <c r="E801" s="2">
        <v>172101</v>
      </c>
      <c r="F801" s="2">
        <v>202443</v>
      </c>
      <c r="G801" s="2">
        <v>100915</v>
      </c>
      <c r="H801">
        <v>0</v>
      </c>
    </row>
    <row r="803" spans="1:10" x14ac:dyDescent="0.25">
      <c r="A803" t="s">
        <v>226</v>
      </c>
      <c r="B803" t="s">
        <v>227</v>
      </c>
    </row>
    <row r="804" spans="1:10" x14ac:dyDescent="0.25">
      <c r="A804" t="s">
        <v>389</v>
      </c>
      <c r="B804" t="s">
        <v>731</v>
      </c>
    </row>
    <row r="805" spans="1:10" x14ac:dyDescent="0.25">
      <c r="A805" t="s">
        <v>110</v>
      </c>
    </row>
    <row r="806" spans="1:10" x14ac:dyDescent="0.25">
      <c r="A806" s="1">
        <v>43991</v>
      </c>
      <c r="B806" t="s">
        <v>111</v>
      </c>
      <c r="D806" t="s">
        <v>112</v>
      </c>
      <c r="E806" t="s">
        <v>113</v>
      </c>
      <c r="F806" t="s">
        <v>114</v>
      </c>
      <c r="J806" t="s">
        <v>778</v>
      </c>
    </row>
    <row r="807" spans="1:10" x14ac:dyDescent="0.25">
      <c r="D807" t="s">
        <v>116</v>
      </c>
      <c r="E807" t="s">
        <v>117</v>
      </c>
      <c r="F807" t="s">
        <v>118</v>
      </c>
    </row>
    <row r="808" spans="1:10" x14ac:dyDescent="0.25">
      <c r="D808" t="s">
        <v>119</v>
      </c>
      <c r="E808" t="s">
        <v>120</v>
      </c>
      <c r="F808" t="s">
        <v>121</v>
      </c>
    </row>
    <row r="809" spans="1:10" x14ac:dyDescent="0.25">
      <c r="A809" t="s">
        <v>122</v>
      </c>
      <c r="B809" t="s">
        <v>123</v>
      </c>
    </row>
    <row r="810" spans="1:10" x14ac:dyDescent="0.25">
      <c r="A810" t="s">
        <v>386</v>
      </c>
    </row>
    <row r="811" spans="1:10" x14ac:dyDescent="0.25">
      <c r="F811" t="s">
        <v>2</v>
      </c>
      <c r="G811" t="s">
        <v>3</v>
      </c>
      <c r="H811" t="s">
        <v>4</v>
      </c>
      <c r="I811" t="s">
        <v>5</v>
      </c>
      <c r="J811" t="s">
        <v>6</v>
      </c>
    </row>
    <row r="812" spans="1:10" x14ac:dyDescent="0.25">
      <c r="C812" t="s">
        <v>7</v>
      </c>
      <c r="D812" t="s">
        <v>8</v>
      </c>
      <c r="E812" t="s">
        <v>9</v>
      </c>
      <c r="F812" t="s">
        <v>10</v>
      </c>
      <c r="G812" t="s">
        <v>124</v>
      </c>
      <c r="H812" t="s">
        <v>12</v>
      </c>
      <c r="I812" t="s">
        <v>13</v>
      </c>
      <c r="J812" t="s">
        <v>14</v>
      </c>
    </row>
    <row r="813" spans="1:10" x14ac:dyDescent="0.25">
      <c r="C813" t="s">
        <v>15</v>
      </c>
      <c r="D813" t="s">
        <v>15</v>
      </c>
      <c r="E813" t="s">
        <v>15</v>
      </c>
      <c r="F813" t="s">
        <v>16</v>
      </c>
      <c r="G813" t="s">
        <v>15</v>
      </c>
      <c r="H813" t="s">
        <v>17</v>
      </c>
      <c r="I813" t="s">
        <v>16</v>
      </c>
      <c r="J813" t="s">
        <v>16</v>
      </c>
    </row>
    <row r="814" spans="1:10" x14ac:dyDescent="0.25">
      <c r="A814" t="s">
        <v>18</v>
      </c>
      <c r="B814" t="s">
        <v>19</v>
      </c>
      <c r="C814" t="s">
        <v>20</v>
      </c>
      <c r="D814" t="s">
        <v>21</v>
      </c>
      <c r="E814" t="s">
        <v>22</v>
      </c>
      <c r="F814" t="s">
        <v>23</v>
      </c>
      <c r="G814" t="s">
        <v>24</v>
      </c>
      <c r="H814" t="s">
        <v>20</v>
      </c>
      <c r="I814" t="s">
        <v>24</v>
      </c>
      <c r="J814" t="s">
        <v>20</v>
      </c>
    </row>
    <row r="816" spans="1:10" x14ac:dyDescent="0.25">
      <c r="A816" t="s">
        <v>391</v>
      </c>
      <c r="B816" t="s">
        <v>392</v>
      </c>
    </row>
    <row r="817" spans="1:10" x14ac:dyDescent="0.25">
      <c r="A817" t="s">
        <v>18</v>
      </c>
      <c r="B817" t="s">
        <v>228</v>
      </c>
    </row>
    <row r="818" spans="1:10" x14ac:dyDescent="0.25">
      <c r="A818" t="s">
        <v>779</v>
      </c>
      <c r="B818" t="s">
        <v>569</v>
      </c>
      <c r="C818" s="2">
        <v>1694</v>
      </c>
      <c r="D818" s="2">
        <v>4119</v>
      </c>
      <c r="E818">
        <v>0</v>
      </c>
      <c r="F818">
        <v>0</v>
      </c>
      <c r="G818">
        <v>0</v>
      </c>
      <c r="H818">
        <v>0</v>
      </c>
      <c r="I818" t="s">
        <v>22</v>
      </c>
      <c r="J818" t="s">
        <v>22</v>
      </c>
    </row>
    <row r="819" spans="1:10" x14ac:dyDescent="0.25">
      <c r="A819" t="s">
        <v>780</v>
      </c>
      <c r="B819" t="s">
        <v>396</v>
      </c>
      <c r="C819">
        <v>429</v>
      </c>
      <c r="D819">
        <v>18</v>
      </c>
      <c r="E819">
        <v>234</v>
      </c>
      <c r="F819">
        <v>504</v>
      </c>
      <c r="G819">
        <v>0</v>
      </c>
      <c r="H819">
        <v>20</v>
      </c>
      <c r="I819" t="s">
        <v>22</v>
      </c>
      <c r="J819" t="s">
        <v>22</v>
      </c>
    </row>
    <row r="820" spans="1:10" x14ac:dyDescent="0.25">
      <c r="A820" t="s">
        <v>781</v>
      </c>
      <c r="B820" t="s">
        <v>398</v>
      </c>
      <c r="C820" s="2">
        <v>7135</v>
      </c>
      <c r="D820" s="2">
        <v>7816</v>
      </c>
      <c r="E820" s="2">
        <v>7961</v>
      </c>
      <c r="F820" s="2">
        <v>8569</v>
      </c>
      <c r="G820" s="2">
        <v>5696</v>
      </c>
      <c r="H820">
        <v>730</v>
      </c>
      <c r="I820" t="s">
        <v>22</v>
      </c>
      <c r="J820" t="s">
        <v>22</v>
      </c>
    </row>
    <row r="821" spans="1:10" x14ac:dyDescent="0.25">
      <c r="A821" t="s">
        <v>782</v>
      </c>
      <c r="B821" t="s">
        <v>400</v>
      </c>
      <c r="C821" s="2">
        <v>7803</v>
      </c>
      <c r="D821" s="2">
        <v>8643</v>
      </c>
      <c r="E821" s="2">
        <v>9452</v>
      </c>
      <c r="F821" s="2">
        <v>10631</v>
      </c>
      <c r="G821" s="2">
        <v>6424</v>
      </c>
      <c r="H821">
        <v>395</v>
      </c>
      <c r="I821" t="s">
        <v>22</v>
      </c>
      <c r="J821" t="s">
        <v>22</v>
      </c>
    </row>
    <row r="822" spans="1:10" x14ac:dyDescent="0.25">
      <c r="A822" t="s">
        <v>783</v>
      </c>
      <c r="B822" t="s">
        <v>574</v>
      </c>
      <c r="C822" s="2">
        <v>27743</v>
      </c>
      <c r="D822" s="2">
        <v>26910</v>
      </c>
      <c r="E822" s="2">
        <v>29039</v>
      </c>
      <c r="F822" s="2">
        <v>28212</v>
      </c>
      <c r="G822" s="2">
        <v>29185</v>
      </c>
      <c r="H822">
        <v>945</v>
      </c>
      <c r="I822" t="s">
        <v>22</v>
      </c>
      <c r="J822" t="s">
        <v>22</v>
      </c>
    </row>
    <row r="823" spans="1:10" x14ac:dyDescent="0.25">
      <c r="A823" t="s">
        <v>784</v>
      </c>
      <c r="B823" t="s">
        <v>404</v>
      </c>
      <c r="C823" s="2">
        <v>1328</v>
      </c>
      <c r="D823" s="2">
        <v>1326</v>
      </c>
      <c r="E823" s="2">
        <v>1307</v>
      </c>
      <c r="F823" s="2">
        <v>1308</v>
      </c>
      <c r="G823">
        <v>804</v>
      </c>
      <c r="H823">
        <v>0</v>
      </c>
      <c r="I823" t="s">
        <v>22</v>
      </c>
      <c r="J823" t="s">
        <v>22</v>
      </c>
    </row>
    <row r="824" spans="1:10" x14ac:dyDescent="0.25">
      <c r="A824" t="s">
        <v>785</v>
      </c>
      <c r="B824" t="s">
        <v>406</v>
      </c>
      <c r="C824">
        <v>530</v>
      </c>
      <c r="D824" s="2">
        <v>1614</v>
      </c>
      <c r="E824">
        <v>465</v>
      </c>
      <c r="F824">
        <v>511</v>
      </c>
      <c r="G824" s="2">
        <v>1007</v>
      </c>
      <c r="H824">
        <v>60</v>
      </c>
      <c r="I824" t="s">
        <v>22</v>
      </c>
      <c r="J824" t="s">
        <v>22</v>
      </c>
    </row>
    <row r="825" spans="1:10" x14ac:dyDescent="0.25">
      <c r="A825" t="s">
        <v>786</v>
      </c>
      <c r="B825" t="s">
        <v>787</v>
      </c>
      <c r="C825" s="2">
        <v>95164</v>
      </c>
      <c r="D825" s="2">
        <v>103183</v>
      </c>
      <c r="E825" s="2">
        <v>105013</v>
      </c>
      <c r="F825" s="2">
        <v>110264</v>
      </c>
      <c r="G825" s="2">
        <v>75738</v>
      </c>
      <c r="H825" s="2">
        <v>9490</v>
      </c>
      <c r="I825" t="s">
        <v>22</v>
      </c>
      <c r="J825" t="s">
        <v>22</v>
      </c>
    </row>
    <row r="826" spans="1:10" x14ac:dyDescent="0.25">
      <c r="A826" t="s">
        <v>788</v>
      </c>
      <c r="B826" t="s">
        <v>690</v>
      </c>
      <c r="C826">
        <v>69</v>
      </c>
      <c r="D826">
        <v>138</v>
      </c>
      <c r="E826">
        <v>208</v>
      </c>
      <c r="F826">
        <v>329</v>
      </c>
      <c r="G826">
        <v>277</v>
      </c>
      <c r="H826">
        <v>0</v>
      </c>
      <c r="I826" t="s">
        <v>22</v>
      </c>
      <c r="J826" t="s">
        <v>22</v>
      </c>
    </row>
    <row r="827" spans="1:10" x14ac:dyDescent="0.25">
      <c r="A827" t="s">
        <v>789</v>
      </c>
      <c r="B827" t="s">
        <v>426</v>
      </c>
      <c r="C827">
        <v>0</v>
      </c>
      <c r="D827">
        <v>810</v>
      </c>
      <c r="E827">
        <v>810</v>
      </c>
      <c r="F827">
        <v>810</v>
      </c>
      <c r="G827">
        <v>830</v>
      </c>
      <c r="H827">
        <v>0</v>
      </c>
      <c r="I827" t="s">
        <v>22</v>
      </c>
      <c r="J827" t="s">
        <v>22</v>
      </c>
    </row>
    <row r="828" spans="1:10" x14ac:dyDescent="0.25">
      <c r="A828" t="s">
        <v>790</v>
      </c>
      <c r="B828" t="s">
        <v>428</v>
      </c>
      <c r="C828">
        <v>600</v>
      </c>
      <c r="D828">
        <v>600</v>
      </c>
      <c r="E828">
        <v>600</v>
      </c>
      <c r="F828">
        <v>600</v>
      </c>
      <c r="G828">
        <v>415</v>
      </c>
      <c r="H828">
        <v>0</v>
      </c>
      <c r="I828" t="s">
        <v>22</v>
      </c>
      <c r="J828" t="s">
        <v>22</v>
      </c>
    </row>
    <row r="829" spans="1:10" x14ac:dyDescent="0.25">
      <c r="A829" t="s">
        <v>791</v>
      </c>
      <c r="B829" t="s">
        <v>430</v>
      </c>
      <c r="C829">
        <v>69</v>
      </c>
      <c r="D829">
        <v>69</v>
      </c>
      <c r="E829">
        <v>69</v>
      </c>
      <c r="F829">
        <v>69</v>
      </c>
      <c r="G829">
        <v>69</v>
      </c>
      <c r="H829">
        <v>0</v>
      </c>
      <c r="I829" t="s">
        <v>22</v>
      </c>
      <c r="J829" t="s">
        <v>22</v>
      </c>
    </row>
    <row r="830" spans="1:10" x14ac:dyDescent="0.25">
      <c r="A830" t="s">
        <v>792</v>
      </c>
      <c r="B830" t="s">
        <v>432</v>
      </c>
      <c r="C830">
        <v>0</v>
      </c>
      <c r="D830">
        <v>0</v>
      </c>
      <c r="E830">
        <v>0</v>
      </c>
      <c r="F830">
        <v>0</v>
      </c>
      <c r="G830">
        <v>492</v>
      </c>
      <c r="H830">
        <v>0</v>
      </c>
      <c r="I830" t="s">
        <v>22</v>
      </c>
      <c r="J830" t="s">
        <v>22</v>
      </c>
    </row>
    <row r="831" spans="1:10" x14ac:dyDescent="0.25">
      <c r="A831" t="s">
        <v>793</v>
      </c>
      <c r="B831" t="s">
        <v>434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 t="s">
        <v>22</v>
      </c>
      <c r="J831" t="s">
        <v>22</v>
      </c>
    </row>
    <row r="832" spans="1:10" x14ac:dyDescent="0.25">
      <c r="A832" t="s">
        <v>794</v>
      </c>
      <c r="B832" t="s">
        <v>436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 t="s">
        <v>22</v>
      </c>
      <c r="J832" t="s">
        <v>22</v>
      </c>
    </row>
    <row r="833" spans="1:10" x14ac:dyDescent="0.25">
      <c r="A833" t="s">
        <v>795</v>
      </c>
      <c r="B833" t="s">
        <v>607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 t="s">
        <v>22</v>
      </c>
      <c r="J833" t="s">
        <v>22</v>
      </c>
    </row>
    <row r="834" spans="1:10" x14ac:dyDescent="0.25">
      <c r="C834" t="s">
        <v>108</v>
      </c>
      <c r="D834" t="s">
        <v>108</v>
      </c>
      <c r="E834" t="s">
        <v>108</v>
      </c>
      <c r="F834" t="s">
        <v>108</v>
      </c>
      <c r="G834" t="s">
        <v>108</v>
      </c>
    </row>
    <row r="835" spans="1:10" x14ac:dyDescent="0.25">
      <c r="H835" t="s">
        <v>22</v>
      </c>
      <c r="I835" t="s">
        <v>22</v>
      </c>
      <c r="J835" t="s">
        <v>22</v>
      </c>
    </row>
    <row r="836" spans="1:10" x14ac:dyDescent="0.25">
      <c r="A836" t="s">
        <v>109</v>
      </c>
    </row>
    <row r="837" spans="1:10" x14ac:dyDescent="0.25">
      <c r="B837" t="s">
        <v>441</v>
      </c>
      <c r="C837" s="2">
        <v>142564</v>
      </c>
      <c r="D837" s="2">
        <v>155246</v>
      </c>
      <c r="E837" s="2">
        <v>155158</v>
      </c>
      <c r="F837" s="2">
        <v>161807</v>
      </c>
      <c r="G837" s="2">
        <v>120939</v>
      </c>
      <c r="H837" s="2">
        <v>11640</v>
      </c>
    </row>
    <row r="839" spans="1:10" x14ac:dyDescent="0.25">
      <c r="A839" t="s">
        <v>442</v>
      </c>
      <c r="B839" t="s">
        <v>443</v>
      </c>
    </row>
    <row r="840" spans="1:10" x14ac:dyDescent="0.25">
      <c r="A840" t="s">
        <v>18</v>
      </c>
      <c r="B840" t="s">
        <v>21</v>
      </c>
    </row>
    <row r="841" spans="1:10" x14ac:dyDescent="0.25">
      <c r="A841" t="s">
        <v>796</v>
      </c>
      <c r="B841" t="s">
        <v>447</v>
      </c>
      <c r="C841">
        <v>0</v>
      </c>
      <c r="D841">
        <v>0</v>
      </c>
      <c r="E841">
        <v>0</v>
      </c>
      <c r="F841">
        <v>500</v>
      </c>
      <c r="G841">
        <v>266</v>
      </c>
      <c r="H841">
        <v>0</v>
      </c>
      <c r="I841" t="s">
        <v>22</v>
      </c>
      <c r="J841" t="s">
        <v>22</v>
      </c>
    </row>
    <row r="842" spans="1:10" x14ac:dyDescent="0.25">
      <c r="A842" t="s">
        <v>797</v>
      </c>
      <c r="B842" t="s">
        <v>449</v>
      </c>
      <c r="C842">
        <v>409</v>
      </c>
      <c r="D842" s="2">
        <v>1192</v>
      </c>
      <c r="E842">
        <v>517</v>
      </c>
      <c r="F842">
        <v>700</v>
      </c>
      <c r="G842">
        <v>401</v>
      </c>
      <c r="H842">
        <v>0</v>
      </c>
      <c r="I842" t="s">
        <v>22</v>
      </c>
      <c r="J842" t="s">
        <v>22</v>
      </c>
    </row>
    <row r="843" spans="1:10" x14ac:dyDescent="0.25">
      <c r="A843" t="s">
        <v>798</v>
      </c>
      <c r="B843" t="s">
        <v>451</v>
      </c>
      <c r="C843" s="2">
        <v>1900</v>
      </c>
      <c r="D843" s="2">
        <v>2225</v>
      </c>
      <c r="E843" s="2">
        <v>1350</v>
      </c>
      <c r="F843" s="2">
        <v>2500</v>
      </c>
      <c r="G843">
        <v>313</v>
      </c>
      <c r="H843">
        <v>200</v>
      </c>
      <c r="I843" t="s">
        <v>22</v>
      </c>
      <c r="J843" t="s">
        <v>22</v>
      </c>
    </row>
    <row r="844" spans="1:10" x14ac:dyDescent="0.25">
      <c r="A844" t="s">
        <v>799</v>
      </c>
      <c r="B844" t="s">
        <v>457</v>
      </c>
      <c r="C844">
        <v>300</v>
      </c>
      <c r="D844">
        <v>150</v>
      </c>
      <c r="E844">
        <v>150</v>
      </c>
      <c r="F844">
        <v>350</v>
      </c>
      <c r="G844">
        <v>0</v>
      </c>
      <c r="H844">
        <v>50</v>
      </c>
      <c r="I844" t="s">
        <v>22</v>
      </c>
      <c r="J844" t="s">
        <v>22</v>
      </c>
    </row>
    <row r="845" spans="1:10" x14ac:dyDescent="0.25">
      <c r="A845" t="s">
        <v>800</v>
      </c>
      <c r="B845" t="s">
        <v>459</v>
      </c>
      <c r="C845">
        <v>155</v>
      </c>
      <c r="D845">
        <v>0</v>
      </c>
      <c r="E845">
        <v>0</v>
      </c>
      <c r="F845">
        <v>0</v>
      </c>
      <c r="G845">
        <v>0</v>
      </c>
      <c r="H845">
        <v>50</v>
      </c>
      <c r="I845" t="s">
        <v>22</v>
      </c>
      <c r="J845" t="s">
        <v>22</v>
      </c>
    </row>
    <row r="846" spans="1:10" x14ac:dyDescent="0.25">
      <c r="A846" t="s">
        <v>801</v>
      </c>
      <c r="B846" t="s">
        <v>802</v>
      </c>
      <c r="C846">
        <v>108</v>
      </c>
      <c r="D846">
        <v>0</v>
      </c>
      <c r="E846">
        <v>108</v>
      </c>
      <c r="F846">
        <v>500</v>
      </c>
      <c r="G846">
        <v>0</v>
      </c>
      <c r="H846">
        <v>500</v>
      </c>
      <c r="I846" t="s">
        <v>22</v>
      </c>
      <c r="J846" t="s">
        <v>22</v>
      </c>
    </row>
    <row r="847" spans="1:10" x14ac:dyDescent="0.25">
      <c r="A847" t="s">
        <v>803</v>
      </c>
      <c r="B847" t="s">
        <v>804</v>
      </c>
      <c r="C847">
        <v>0</v>
      </c>
      <c r="D847">
        <v>0</v>
      </c>
      <c r="E847">
        <v>0</v>
      </c>
      <c r="F847">
        <v>0</v>
      </c>
      <c r="G847">
        <v>0</v>
      </c>
      <c r="H847" s="2">
        <v>9000</v>
      </c>
      <c r="I847" t="s">
        <v>22</v>
      </c>
      <c r="J847" t="s">
        <v>22</v>
      </c>
    </row>
    <row r="848" spans="1:10" x14ac:dyDescent="0.25">
      <c r="A848" t="s">
        <v>805</v>
      </c>
      <c r="B848" t="s">
        <v>806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 t="s">
        <v>22</v>
      </c>
      <c r="J848" t="s">
        <v>22</v>
      </c>
    </row>
    <row r="849" spans="1:10" x14ac:dyDescent="0.25">
      <c r="A849" t="s">
        <v>807</v>
      </c>
      <c r="B849" t="s">
        <v>465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 t="s">
        <v>22</v>
      </c>
      <c r="J849" t="s">
        <v>22</v>
      </c>
    </row>
    <row r="850" spans="1:10" x14ac:dyDescent="0.25">
      <c r="A850" t="s">
        <v>808</v>
      </c>
      <c r="B850" t="s">
        <v>156</v>
      </c>
      <c r="C850" s="2">
        <v>4706</v>
      </c>
      <c r="D850" s="2">
        <v>5651</v>
      </c>
      <c r="E850" s="2">
        <v>5200</v>
      </c>
      <c r="F850" s="2">
        <v>6000</v>
      </c>
      <c r="G850">
        <v>392</v>
      </c>
      <c r="H850">
        <v>0</v>
      </c>
      <c r="I850" t="s">
        <v>22</v>
      </c>
      <c r="J850" t="s">
        <v>22</v>
      </c>
    </row>
    <row r="851" spans="1:10" x14ac:dyDescent="0.25">
      <c r="A851" t="s">
        <v>809</v>
      </c>
      <c r="B851" t="s">
        <v>471</v>
      </c>
      <c r="C851">
        <v>0</v>
      </c>
      <c r="D851">
        <v>0</v>
      </c>
      <c r="E851">
        <v>0</v>
      </c>
      <c r="F851">
        <v>0</v>
      </c>
      <c r="G851">
        <v>0</v>
      </c>
      <c r="H851" s="2">
        <v>1200</v>
      </c>
      <c r="I851" t="s">
        <v>22</v>
      </c>
      <c r="J851" t="s">
        <v>22</v>
      </c>
    </row>
    <row r="852" spans="1:10" x14ac:dyDescent="0.25">
      <c r="A852" t="s">
        <v>810</v>
      </c>
      <c r="B852" t="s">
        <v>475</v>
      </c>
      <c r="C852">
        <v>89</v>
      </c>
      <c r="D852">
        <v>20</v>
      </c>
      <c r="E852">
        <v>20</v>
      </c>
      <c r="F852">
        <v>100</v>
      </c>
      <c r="G852">
        <v>240</v>
      </c>
      <c r="H852">
        <v>100</v>
      </c>
      <c r="I852" t="s">
        <v>22</v>
      </c>
      <c r="J852" t="s">
        <v>22</v>
      </c>
    </row>
    <row r="853" spans="1:10" x14ac:dyDescent="0.25">
      <c r="A853" t="s">
        <v>811</v>
      </c>
      <c r="B853" t="s">
        <v>812</v>
      </c>
      <c r="C853" s="2">
        <v>4686</v>
      </c>
      <c r="D853" s="2">
        <v>10660</v>
      </c>
      <c r="E853">
        <v>57</v>
      </c>
      <c r="F853" s="2">
        <v>15000</v>
      </c>
      <c r="G853">
        <v>320</v>
      </c>
      <c r="H853">
        <v>0</v>
      </c>
      <c r="I853" t="s">
        <v>22</v>
      </c>
      <c r="J853" t="s">
        <v>22</v>
      </c>
    </row>
    <row r="854" spans="1:10" x14ac:dyDescent="0.25">
      <c r="A854" t="s">
        <v>813</v>
      </c>
      <c r="B854" t="s">
        <v>477</v>
      </c>
      <c r="C854">
        <v>0</v>
      </c>
      <c r="D854">
        <v>0</v>
      </c>
      <c r="E854">
        <v>0</v>
      </c>
      <c r="F854" s="2">
        <v>1000</v>
      </c>
      <c r="G854">
        <v>0</v>
      </c>
      <c r="H854">
        <v>0</v>
      </c>
      <c r="I854" t="s">
        <v>22</v>
      </c>
      <c r="J854" t="s">
        <v>22</v>
      </c>
    </row>
    <row r="855" spans="1:10" x14ac:dyDescent="0.25">
      <c r="A855" t="s">
        <v>814</v>
      </c>
      <c r="B855" t="s">
        <v>815</v>
      </c>
      <c r="C855">
        <v>0</v>
      </c>
      <c r="D855">
        <v>0</v>
      </c>
      <c r="E855">
        <v>0</v>
      </c>
      <c r="F855">
        <v>0</v>
      </c>
      <c r="G855">
        <v>0</v>
      </c>
      <c r="H855">
        <v>0</v>
      </c>
      <c r="I855" t="s">
        <v>22</v>
      </c>
      <c r="J855" t="s">
        <v>22</v>
      </c>
    </row>
    <row r="856" spans="1:10" x14ac:dyDescent="0.25">
      <c r="C856" t="s">
        <v>108</v>
      </c>
      <c r="D856" t="s">
        <v>108</v>
      </c>
      <c r="E856" t="s">
        <v>108</v>
      </c>
      <c r="F856" t="s">
        <v>108</v>
      </c>
      <c r="G856" t="s">
        <v>108</v>
      </c>
    </row>
    <row r="857" spans="1:10" x14ac:dyDescent="0.25">
      <c r="H857" t="s">
        <v>22</v>
      </c>
      <c r="I857" t="s">
        <v>22</v>
      </c>
      <c r="J857" t="s">
        <v>22</v>
      </c>
    </row>
    <row r="858" spans="1:10" x14ac:dyDescent="0.25">
      <c r="A858" t="s">
        <v>109</v>
      </c>
    </row>
    <row r="859" spans="1:10" x14ac:dyDescent="0.25">
      <c r="B859" t="s">
        <v>478</v>
      </c>
      <c r="C859" s="2">
        <v>12352</v>
      </c>
      <c r="D859" s="2">
        <v>19898</v>
      </c>
      <c r="E859" s="2">
        <v>7402</v>
      </c>
      <c r="F859" s="2">
        <v>26650</v>
      </c>
      <c r="G859" s="2">
        <v>1932</v>
      </c>
      <c r="H859" s="2">
        <v>11100</v>
      </c>
    </row>
    <row r="861" spans="1:10" x14ac:dyDescent="0.25">
      <c r="A861" t="s">
        <v>489</v>
      </c>
    </row>
    <row r="862" spans="1:10" x14ac:dyDescent="0.25">
      <c r="A862" t="s">
        <v>18</v>
      </c>
    </row>
    <row r="863" spans="1:10" x14ac:dyDescent="0.25">
      <c r="A863" t="s">
        <v>816</v>
      </c>
      <c r="B863" t="s">
        <v>491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100</v>
      </c>
      <c r="I863" t="s">
        <v>22</v>
      </c>
      <c r="J863" t="s">
        <v>22</v>
      </c>
    </row>
    <row r="864" spans="1:10" x14ac:dyDescent="0.25">
      <c r="A864" t="s">
        <v>817</v>
      </c>
      <c r="B864" t="s">
        <v>493</v>
      </c>
      <c r="C864">
        <v>0</v>
      </c>
      <c r="D864">
        <v>0</v>
      </c>
      <c r="E864">
        <v>0</v>
      </c>
      <c r="F864">
        <v>0</v>
      </c>
      <c r="G864">
        <v>49</v>
      </c>
      <c r="H864">
        <v>100</v>
      </c>
      <c r="I864" t="s">
        <v>22</v>
      </c>
      <c r="J864" t="s">
        <v>22</v>
      </c>
    </row>
    <row r="865" spans="1:10" x14ac:dyDescent="0.25">
      <c r="A865" t="s">
        <v>818</v>
      </c>
      <c r="B865" t="s">
        <v>489</v>
      </c>
      <c r="C865">
        <v>964</v>
      </c>
      <c r="D865">
        <v>850</v>
      </c>
      <c r="E865">
        <v>520</v>
      </c>
      <c r="F865">
        <v>750</v>
      </c>
      <c r="G865">
        <v>320</v>
      </c>
      <c r="H865">
        <v>300</v>
      </c>
      <c r="I865" t="s">
        <v>22</v>
      </c>
      <c r="J865" t="s">
        <v>22</v>
      </c>
    </row>
    <row r="866" spans="1:10" x14ac:dyDescent="0.25">
      <c r="A866" t="s">
        <v>819</v>
      </c>
      <c r="B866" t="s">
        <v>498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 t="s">
        <v>22</v>
      </c>
      <c r="J866" t="s">
        <v>22</v>
      </c>
    </row>
    <row r="867" spans="1:10" x14ac:dyDescent="0.25">
      <c r="A867" t="s">
        <v>820</v>
      </c>
      <c r="B867" t="s">
        <v>500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 t="s">
        <v>22</v>
      </c>
      <c r="J867" t="s">
        <v>22</v>
      </c>
    </row>
    <row r="868" spans="1:10" x14ac:dyDescent="0.25">
      <c r="C868" t="s">
        <v>108</v>
      </c>
      <c r="D868" t="s">
        <v>108</v>
      </c>
      <c r="E868" t="s">
        <v>108</v>
      </c>
      <c r="F868" t="s">
        <v>108</v>
      </c>
      <c r="G868" t="s">
        <v>108</v>
      </c>
    </row>
    <row r="869" spans="1:10" x14ac:dyDescent="0.25">
      <c r="H869" t="s">
        <v>22</v>
      </c>
      <c r="I869" t="s">
        <v>22</v>
      </c>
      <c r="J869" t="s">
        <v>22</v>
      </c>
    </row>
    <row r="870" spans="1:10" x14ac:dyDescent="0.25">
      <c r="A870" t="s">
        <v>109</v>
      </c>
    </row>
    <row r="871" spans="1:10" x14ac:dyDescent="0.25">
      <c r="B871" t="s">
        <v>489</v>
      </c>
      <c r="C871">
        <v>964</v>
      </c>
      <c r="D871">
        <v>850</v>
      </c>
      <c r="E871">
        <v>520</v>
      </c>
      <c r="F871">
        <v>750</v>
      </c>
      <c r="G871">
        <v>369</v>
      </c>
      <c r="H871">
        <v>500</v>
      </c>
    </row>
    <row r="872" spans="1:10" x14ac:dyDescent="0.25">
      <c r="A872" t="s">
        <v>110</v>
      </c>
    </row>
    <row r="873" spans="1:10" x14ac:dyDescent="0.25">
      <c r="A873" s="1">
        <v>43991</v>
      </c>
      <c r="B873" t="s">
        <v>111</v>
      </c>
      <c r="D873" t="s">
        <v>112</v>
      </c>
      <c r="E873" t="s">
        <v>113</v>
      </c>
      <c r="F873" t="s">
        <v>114</v>
      </c>
      <c r="J873" t="s">
        <v>821</v>
      </c>
    </row>
    <row r="874" spans="1:10" x14ac:dyDescent="0.25">
      <c r="D874" t="s">
        <v>116</v>
      </c>
      <c r="E874" t="s">
        <v>117</v>
      </c>
      <c r="F874" t="s">
        <v>118</v>
      </c>
    </row>
    <row r="875" spans="1:10" x14ac:dyDescent="0.25">
      <c r="D875" t="s">
        <v>119</v>
      </c>
      <c r="E875" t="s">
        <v>120</v>
      </c>
      <c r="F875" t="s">
        <v>121</v>
      </c>
    </row>
    <row r="876" spans="1:10" x14ac:dyDescent="0.25">
      <c r="A876" t="s">
        <v>122</v>
      </c>
      <c r="B876" t="s">
        <v>123</v>
      </c>
    </row>
    <row r="877" spans="1:10" x14ac:dyDescent="0.25">
      <c r="A877" t="s">
        <v>386</v>
      </c>
    </row>
    <row r="878" spans="1:10" x14ac:dyDescent="0.25">
      <c r="F878" t="s">
        <v>2</v>
      </c>
      <c r="G878" t="s">
        <v>3</v>
      </c>
      <c r="H878" t="s">
        <v>4</v>
      </c>
      <c r="I878" t="s">
        <v>5</v>
      </c>
      <c r="J878" t="s">
        <v>6</v>
      </c>
    </row>
    <row r="879" spans="1:10" x14ac:dyDescent="0.25">
      <c r="C879" t="s">
        <v>7</v>
      </c>
      <c r="D879" t="s">
        <v>8</v>
      </c>
      <c r="E879" t="s">
        <v>9</v>
      </c>
      <c r="F879" t="s">
        <v>10</v>
      </c>
      <c r="G879" t="s">
        <v>124</v>
      </c>
      <c r="H879" t="s">
        <v>12</v>
      </c>
      <c r="I879" t="s">
        <v>13</v>
      </c>
      <c r="J879" t="s">
        <v>14</v>
      </c>
    </row>
    <row r="880" spans="1:10" x14ac:dyDescent="0.25">
      <c r="C880" t="s">
        <v>15</v>
      </c>
      <c r="D880" t="s">
        <v>15</v>
      </c>
      <c r="E880" t="s">
        <v>15</v>
      </c>
      <c r="F880" t="s">
        <v>16</v>
      </c>
      <c r="G880" t="s">
        <v>15</v>
      </c>
      <c r="H880" t="s">
        <v>17</v>
      </c>
      <c r="I880" t="s">
        <v>16</v>
      </c>
      <c r="J880" t="s">
        <v>16</v>
      </c>
    </row>
    <row r="881" spans="1:10" x14ac:dyDescent="0.25">
      <c r="A881" t="s">
        <v>18</v>
      </c>
      <c r="B881" t="s">
        <v>19</v>
      </c>
      <c r="C881" t="s">
        <v>20</v>
      </c>
      <c r="D881" t="s">
        <v>21</v>
      </c>
      <c r="E881" t="s">
        <v>22</v>
      </c>
      <c r="F881" t="s">
        <v>23</v>
      </c>
      <c r="G881" t="s">
        <v>24</v>
      </c>
      <c r="H881" t="s">
        <v>20</v>
      </c>
      <c r="I881" t="s">
        <v>24</v>
      </c>
      <c r="J881" t="s">
        <v>20</v>
      </c>
    </row>
    <row r="883" spans="1:10" x14ac:dyDescent="0.25">
      <c r="A883" t="s">
        <v>501</v>
      </c>
    </row>
    <row r="884" spans="1:10" x14ac:dyDescent="0.25">
      <c r="A884" t="s">
        <v>18</v>
      </c>
    </row>
    <row r="885" spans="1:10" x14ac:dyDescent="0.25">
      <c r="A885" t="s">
        <v>822</v>
      </c>
      <c r="B885" t="s">
        <v>503</v>
      </c>
      <c r="C885" s="2">
        <v>17840</v>
      </c>
      <c r="D885" s="2">
        <v>18620</v>
      </c>
      <c r="E885" s="2">
        <v>20227</v>
      </c>
      <c r="F885" s="2">
        <v>41500</v>
      </c>
      <c r="G885" s="2">
        <v>11965</v>
      </c>
      <c r="H885">
        <v>0</v>
      </c>
      <c r="I885" t="s">
        <v>22</v>
      </c>
      <c r="J885" t="s">
        <v>22</v>
      </c>
    </row>
    <row r="886" spans="1:10" x14ac:dyDescent="0.25">
      <c r="A886" t="s">
        <v>823</v>
      </c>
      <c r="B886" t="s">
        <v>507</v>
      </c>
      <c r="C886">
        <v>0</v>
      </c>
      <c r="D886">
        <v>0</v>
      </c>
      <c r="E886">
        <v>0</v>
      </c>
      <c r="F886">
        <v>0</v>
      </c>
      <c r="G886">
        <v>0</v>
      </c>
      <c r="H886" s="2">
        <v>7500</v>
      </c>
      <c r="I886" t="s">
        <v>22</v>
      </c>
      <c r="J886" t="s">
        <v>22</v>
      </c>
    </row>
    <row r="887" spans="1:10" x14ac:dyDescent="0.25">
      <c r="A887" t="s">
        <v>824</v>
      </c>
      <c r="B887" t="s">
        <v>825</v>
      </c>
      <c r="C887">
        <v>943</v>
      </c>
      <c r="D887" s="2">
        <v>1115</v>
      </c>
      <c r="E887" s="2">
        <v>1255</v>
      </c>
      <c r="F887" s="2">
        <v>1000</v>
      </c>
      <c r="G887">
        <v>383</v>
      </c>
      <c r="H887" s="2">
        <v>1000</v>
      </c>
      <c r="I887" t="s">
        <v>22</v>
      </c>
      <c r="J887" t="s">
        <v>22</v>
      </c>
    </row>
    <row r="888" spans="1:10" x14ac:dyDescent="0.25">
      <c r="A888" t="s">
        <v>826</v>
      </c>
      <c r="B888" t="s">
        <v>517</v>
      </c>
      <c r="C888">
        <v>71</v>
      </c>
      <c r="D888">
        <v>364</v>
      </c>
      <c r="E888">
        <v>325</v>
      </c>
      <c r="F888">
        <v>300</v>
      </c>
      <c r="G888">
        <v>0</v>
      </c>
      <c r="H888">
        <v>0</v>
      </c>
      <c r="I888" t="s">
        <v>22</v>
      </c>
      <c r="J888" t="s">
        <v>22</v>
      </c>
    </row>
    <row r="889" spans="1:10" x14ac:dyDescent="0.25">
      <c r="A889" t="s">
        <v>827</v>
      </c>
      <c r="B889" t="s">
        <v>519</v>
      </c>
      <c r="C889">
        <v>0</v>
      </c>
      <c r="D889">
        <v>0</v>
      </c>
      <c r="E889">
        <v>245</v>
      </c>
      <c r="F889">
        <v>500</v>
      </c>
      <c r="G889">
        <v>0</v>
      </c>
      <c r="H889">
        <v>0</v>
      </c>
      <c r="I889" t="s">
        <v>22</v>
      </c>
      <c r="J889" t="s">
        <v>22</v>
      </c>
    </row>
    <row r="890" spans="1:10" x14ac:dyDescent="0.25">
      <c r="A890" t="s">
        <v>828</v>
      </c>
      <c r="B890" t="s">
        <v>521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0</v>
      </c>
      <c r="I890" t="s">
        <v>22</v>
      </c>
      <c r="J890" t="s">
        <v>22</v>
      </c>
    </row>
    <row r="891" spans="1:10" x14ac:dyDescent="0.25">
      <c r="C891" t="s">
        <v>108</v>
      </c>
      <c r="D891" t="s">
        <v>108</v>
      </c>
      <c r="E891" t="s">
        <v>108</v>
      </c>
      <c r="F891" t="s">
        <v>108</v>
      </c>
      <c r="G891" t="s">
        <v>108</v>
      </c>
    </row>
    <row r="892" spans="1:10" x14ac:dyDescent="0.25">
      <c r="H892" t="s">
        <v>22</v>
      </c>
      <c r="I892" t="s">
        <v>22</v>
      </c>
      <c r="J892" t="s">
        <v>22</v>
      </c>
    </row>
    <row r="893" spans="1:10" x14ac:dyDescent="0.25">
      <c r="A893" t="s">
        <v>109</v>
      </c>
    </row>
    <row r="894" spans="1:10" x14ac:dyDescent="0.25">
      <c r="B894" t="s">
        <v>501</v>
      </c>
      <c r="C894" s="2">
        <v>18854</v>
      </c>
      <c r="D894" s="2">
        <v>20098</v>
      </c>
      <c r="E894" s="2">
        <v>22052</v>
      </c>
      <c r="F894" s="2">
        <v>43300</v>
      </c>
      <c r="G894" s="2">
        <v>12348</v>
      </c>
      <c r="H894" s="2">
        <v>8500</v>
      </c>
    </row>
    <row r="896" spans="1:10" x14ac:dyDescent="0.25">
      <c r="A896" t="s">
        <v>524</v>
      </c>
      <c r="B896" t="s">
        <v>525</v>
      </c>
    </row>
    <row r="897" spans="1:10" x14ac:dyDescent="0.25">
      <c r="A897" t="s">
        <v>18</v>
      </c>
      <c r="B897" t="s">
        <v>526</v>
      </c>
    </row>
    <row r="898" spans="1:10" x14ac:dyDescent="0.25">
      <c r="A898" t="s">
        <v>829</v>
      </c>
      <c r="B898" t="s">
        <v>534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 t="s">
        <v>22</v>
      </c>
      <c r="J898" t="s">
        <v>22</v>
      </c>
    </row>
    <row r="899" spans="1:10" x14ac:dyDescent="0.25">
      <c r="C899" t="s">
        <v>108</v>
      </c>
      <c r="D899" t="s">
        <v>108</v>
      </c>
      <c r="E899" t="s">
        <v>108</v>
      </c>
      <c r="F899" t="s">
        <v>108</v>
      </c>
      <c r="G899" t="s">
        <v>108</v>
      </c>
    </row>
    <row r="900" spans="1:10" x14ac:dyDescent="0.25">
      <c r="H900" t="s">
        <v>22</v>
      </c>
      <c r="I900" t="s">
        <v>22</v>
      </c>
      <c r="J900" t="s">
        <v>22</v>
      </c>
    </row>
    <row r="901" spans="1:10" x14ac:dyDescent="0.25">
      <c r="A901" t="s">
        <v>109</v>
      </c>
    </row>
    <row r="902" spans="1:10" x14ac:dyDescent="0.25">
      <c r="B902" t="s">
        <v>530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</row>
    <row r="903" spans="1:10" x14ac:dyDescent="0.25">
      <c r="A903" t="s">
        <v>18</v>
      </c>
      <c r="B903" t="s">
        <v>19</v>
      </c>
      <c r="C903" t="s">
        <v>20</v>
      </c>
      <c r="D903" t="s">
        <v>21</v>
      </c>
      <c r="E903" t="s">
        <v>26</v>
      </c>
    </row>
    <row r="904" spans="1:10" x14ac:dyDescent="0.25">
      <c r="E904" t="s">
        <v>339</v>
      </c>
      <c r="F904" t="s">
        <v>23</v>
      </c>
      <c r="G904" t="s">
        <v>24</v>
      </c>
      <c r="H904" t="s">
        <v>20</v>
      </c>
      <c r="I904" t="s">
        <v>24</v>
      </c>
      <c r="J904" t="s">
        <v>20</v>
      </c>
    </row>
    <row r="905" spans="1:10" x14ac:dyDescent="0.25">
      <c r="A905" t="s">
        <v>109</v>
      </c>
    </row>
    <row r="906" spans="1:10" x14ac:dyDescent="0.25">
      <c r="A906">
        <v>15</v>
      </c>
      <c r="B906" t="e">
        <f>-MUNICIPAL COURT</f>
        <v>#NAME?</v>
      </c>
      <c r="C906" s="2">
        <v>174734</v>
      </c>
      <c r="D906" s="2">
        <v>196093</v>
      </c>
      <c r="E906" s="2">
        <v>185132</v>
      </c>
      <c r="F906" s="2">
        <v>232507</v>
      </c>
      <c r="G906" s="2">
        <v>135588</v>
      </c>
      <c r="H906" s="2">
        <v>31740</v>
      </c>
    </row>
    <row r="908" spans="1:10" x14ac:dyDescent="0.25">
      <c r="A908" t="s">
        <v>830</v>
      </c>
      <c r="B908" t="s">
        <v>831</v>
      </c>
    </row>
    <row r="909" spans="1:10" x14ac:dyDescent="0.25">
      <c r="A909" t="s">
        <v>389</v>
      </c>
      <c r="B909" t="s">
        <v>390</v>
      </c>
    </row>
    <row r="911" spans="1:10" x14ac:dyDescent="0.25">
      <c r="A911" t="s">
        <v>391</v>
      </c>
      <c r="B911" t="s">
        <v>392</v>
      </c>
    </row>
    <row r="912" spans="1:10" x14ac:dyDescent="0.25">
      <c r="A912" t="s">
        <v>18</v>
      </c>
      <c r="B912" t="s">
        <v>228</v>
      </c>
    </row>
    <row r="913" spans="1:10" x14ac:dyDescent="0.25">
      <c r="A913" t="s">
        <v>832</v>
      </c>
      <c r="B913" t="s">
        <v>569</v>
      </c>
      <c r="C913">
        <v>858</v>
      </c>
      <c r="D913" s="2">
        <v>-3505</v>
      </c>
      <c r="E913">
        <v>0</v>
      </c>
      <c r="F913">
        <v>0</v>
      </c>
      <c r="G913">
        <v>0</v>
      </c>
      <c r="H913">
        <v>0</v>
      </c>
      <c r="I913" t="s">
        <v>22</v>
      </c>
      <c r="J913" t="s">
        <v>22</v>
      </c>
    </row>
    <row r="914" spans="1:10" x14ac:dyDescent="0.25">
      <c r="A914" t="s">
        <v>833</v>
      </c>
      <c r="B914" t="s">
        <v>396</v>
      </c>
      <c r="C914">
        <v>68</v>
      </c>
      <c r="D914">
        <v>9</v>
      </c>
      <c r="E914">
        <v>117</v>
      </c>
      <c r="F914">
        <v>252</v>
      </c>
      <c r="G914">
        <v>0</v>
      </c>
      <c r="H914">
        <v>0</v>
      </c>
      <c r="I914" t="s">
        <v>22</v>
      </c>
      <c r="J914" t="s">
        <v>22</v>
      </c>
    </row>
    <row r="915" spans="1:10" x14ac:dyDescent="0.25">
      <c r="A915" t="s">
        <v>834</v>
      </c>
      <c r="B915" t="s">
        <v>398</v>
      </c>
      <c r="C915" s="2">
        <v>6215</v>
      </c>
      <c r="D915" s="2">
        <v>6450</v>
      </c>
      <c r="E915" s="2">
        <v>7098</v>
      </c>
      <c r="F915" s="2">
        <v>6835</v>
      </c>
      <c r="G915" s="2">
        <v>5072</v>
      </c>
      <c r="H915">
        <v>0</v>
      </c>
      <c r="I915" t="s">
        <v>22</v>
      </c>
      <c r="J915" t="s">
        <v>22</v>
      </c>
    </row>
    <row r="916" spans="1:10" x14ac:dyDescent="0.25">
      <c r="A916" t="s">
        <v>835</v>
      </c>
      <c r="B916" t="s">
        <v>400</v>
      </c>
      <c r="C916" s="2">
        <v>6717</v>
      </c>
      <c r="D916" s="2">
        <v>6971</v>
      </c>
      <c r="E916" s="2">
        <v>8258</v>
      </c>
      <c r="F916" s="2">
        <v>8479</v>
      </c>
      <c r="G916" s="2">
        <v>3296</v>
      </c>
      <c r="H916">
        <v>0</v>
      </c>
      <c r="I916" t="s">
        <v>22</v>
      </c>
      <c r="J916" t="s">
        <v>22</v>
      </c>
    </row>
    <row r="917" spans="1:10" x14ac:dyDescent="0.25">
      <c r="A917" t="s">
        <v>836</v>
      </c>
      <c r="B917" t="s">
        <v>402</v>
      </c>
      <c r="C917" s="2">
        <v>7220</v>
      </c>
      <c r="D917" s="2">
        <v>1279</v>
      </c>
      <c r="E917" s="2">
        <v>1615</v>
      </c>
      <c r="F917" s="2">
        <v>1451</v>
      </c>
      <c r="G917" s="2">
        <v>5718</v>
      </c>
      <c r="H917">
        <v>0</v>
      </c>
      <c r="I917" t="s">
        <v>22</v>
      </c>
      <c r="J917" t="s">
        <v>22</v>
      </c>
    </row>
    <row r="918" spans="1:10" x14ac:dyDescent="0.25">
      <c r="A918" t="s">
        <v>837</v>
      </c>
      <c r="B918" t="s">
        <v>404</v>
      </c>
      <c r="C918">
        <v>522</v>
      </c>
      <c r="D918">
        <v>672</v>
      </c>
      <c r="E918">
        <v>670</v>
      </c>
      <c r="F918">
        <v>654</v>
      </c>
      <c r="G918">
        <v>198</v>
      </c>
      <c r="H918">
        <v>0</v>
      </c>
      <c r="I918" t="s">
        <v>22</v>
      </c>
      <c r="J918" t="s">
        <v>22</v>
      </c>
    </row>
    <row r="919" spans="1:10" x14ac:dyDescent="0.25">
      <c r="A919" t="s">
        <v>838</v>
      </c>
      <c r="B919" t="s">
        <v>406</v>
      </c>
      <c r="C919">
        <v>442</v>
      </c>
      <c r="D919" s="2">
        <v>1342</v>
      </c>
      <c r="E919">
        <v>419</v>
      </c>
      <c r="F919">
        <v>460</v>
      </c>
      <c r="G919" s="2">
        <v>1007</v>
      </c>
      <c r="H919">
        <v>0</v>
      </c>
      <c r="I919" t="s">
        <v>22</v>
      </c>
      <c r="J919" t="s">
        <v>22</v>
      </c>
    </row>
    <row r="920" spans="1:10" x14ac:dyDescent="0.25">
      <c r="A920" t="s">
        <v>839</v>
      </c>
      <c r="B920" t="s">
        <v>412</v>
      </c>
      <c r="C920" s="2">
        <v>81349</v>
      </c>
      <c r="D920" s="2">
        <v>83846</v>
      </c>
      <c r="E920" s="2">
        <v>91887</v>
      </c>
      <c r="F920" s="2">
        <v>88200</v>
      </c>
      <c r="G920" s="2">
        <v>66054</v>
      </c>
      <c r="H920">
        <v>0</v>
      </c>
      <c r="I920" t="s">
        <v>22</v>
      </c>
      <c r="J920" t="s">
        <v>22</v>
      </c>
    </row>
    <row r="921" spans="1:10" x14ac:dyDescent="0.25">
      <c r="A921" t="s">
        <v>840</v>
      </c>
      <c r="B921" t="s">
        <v>690</v>
      </c>
      <c r="C921">
        <v>242</v>
      </c>
      <c r="D921">
        <v>35</v>
      </c>
      <c r="E921">
        <v>69</v>
      </c>
      <c r="F921">
        <v>133</v>
      </c>
      <c r="G921">
        <v>35</v>
      </c>
      <c r="H921">
        <v>0</v>
      </c>
      <c r="I921" t="s">
        <v>22</v>
      </c>
      <c r="J921" t="s">
        <v>22</v>
      </c>
    </row>
    <row r="922" spans="1:10" x14ac:dyDescent="0.25">
      <c r="A922" t="s">
        <v>841</v>
      </c>
      <c r="B922" t="s">
        <v>426</v>
      </c>
      <c r="C922">
        <v>405</v>
      </c>
      <c r="D922">
        <v>0</v>
      </c>
      <c r="E922">
        <v>405</v>
      </c>
      <c r="F922">
        <v>405</v>
      </c>
      <c r="G922">
        <v>0</v>
      </c>
      <c r="H922">
        <v>0</v>
      </c>
      <c r="I922" t="s">
        <v>22</v>
      </c>
      <c r="J922" t="s">
        <v>22</v>
      </c>
    </row>
    <row r="923" spans="1:10" x14ac:dyDescent="0.25">
      <c r="A923" t="s">
        <v>842</v>
      </c>
      <c r="B923" t="s">
        <v>428</v>
      </c>
      <c r="C923">
        <v>531</v>
      </c>
      <c r="D923">
        <v>600</v>
      </c>
      <c r="E923">
        <v>600</v>
      </c>
      <c r="F923">
        <v>600</v>
      </c>
      <c r="G923">
        <v>254</v>
      </c>
      <c r="H923">
        <v>0</v>
      </c>
      <c r="I923" t="s">
        <v>22</v>
      </c>
      <c r="J923" t="s">
        <v>22</v>
      </c>
    </row>
    <row r="924" spans="1:10" x14ac:dyDescent="0.25">
      <c r="A924" t="s">
        <v>843</v>
      </c>
      <c r="B924" t="s">
        <v>430</v>
      </c>
      <c r="C924">
        <v>35</v>
      </c>
      <c r="D924">
        <v>35</v>
      </c>
      <c r="E924">
        <v>35</v>
      </c>
      <c r="F924">
        <v>35</v>
      </c>
      <c r="G924">
        <v>0</v>
      </c>
      <c r="H924">
        <v>0</v>
      </c>
      <c r="I924" t="s">
        <v>22</v>
      </c>
      <c r="J924" t="s">
        <v>22</v>
      </c>
    </row>
    <row r="925" spans="1:10" x14ac:dyDescent="0.25">
      <c r="A925" t="s">
        <v>844</v>
      </c>
      <c r="B925" t="s">
        <v>434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 t="s">
        <v>22</v>
      </c>
      <c r="J925" t="s">
        <v>22</v>
      </c>
    </row>
    <row r="926" spans="1:10" x14ac:dyDescent="0.25">
      <c r="A926" t="s">
        <v>845</v>
      </c>
      <c r="B926" t="s">
        <v>436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 t="s">
        <v>22</v>
      </c>
      <c r="J926" t="s">
        <v>22</v>
      </c>
    </row>
    <row r="927" spans="1:10" x14ac:dyDescent="0.25">
      <c r="A927" t="s">
        <v>846</v>
      </c>
      <c r="B927" t="s">
        <v>607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 t="s">
        <v>22</v>
      </c>
      <c r="J927" t="s">
        <v>22</v>
      </c>
    </row>
    <row r="928" spans="1:10" x14ac:dyDescent="0.25">
      <c r="C928" t="s">
        <v>108</v>
      </c>
      <c r="D928" t="s">
        <v>108</v>
      </c>
      <c r="E928" t="s">
        <v>108</v>
      </c>
      <c r="F928" t="s">
        <v>108</v>
      </c>
      <c r="G928" t="s">
        <v>108</v>
      </c>
    </row>
    <row r="929" spans="1:10" x14ac:dyDescent="0.25">
      <c r="H929" t="s">
        <v>22</v>
      </c>
      <c r="I929" t="s">
        <v>22</v>
      </c>
      <c r="J929" t="s">
        <v>22</v>
      </c>
    </row>
    <row r="930" spans="1:10" x14ac:dyDescent="0.25">
      <c r="A930" t="s">
        <v>109</v>
      </c>
    </row>
    <row r="931" spans="1:10" x14ac:dyDescent="0.25">
      <c r="B931" t="s">
        <v>441</v>
      </c>
      <c r="C931" s="2">
        <v>104603</v>
      </c>
      <c r="D931" s="2">
        <v>97733</v>
      </c>
      <c r="E931" s="2">
        <v>111172</v>
      </c>
      <c r="F931" s="2">
        <v>107503</v>
      </c>
      <c r="G931" s="2">
        <v>81633</v>
      </c>
      <c r="H931">
        <v>0</v>
      </c>
    </row>
    <row r="933" spans="1:10" x14ac:dyDescent="0.25">
      <c r="A933" t="s">
        <v>442</v>
      </c>
      <c r="B933" t="s">
        <v>443</v>
      </c>
    </row>
    <row r="934" spans="1:10" x14ac:dyDescent="0.25">
      <c r="A934" t="s">
        <v>18</v>
      </c>
      <c r="B934" t="s">
        <v>21</v>
      </c>
    </row>
    <row r="935" spans="1:10" x14ac:dyDescent="0.25">
      <c r="A935" t="s">
        <v>847</v>
      </c>
      <c r="B935" t="s">
        <v>449</v>
      </c>
      <c r="C935" s="2">
        <v>1851</v>
      </c>
      <c r="D935" s="2">
        <v>1007</v>
      </c>
      <c r="E935" s="2">
        <v>1597</v>
      </c>
      <c r="F935" s="2">
        <v>1500</v>
      </c>
      <c r="G935">
        <v>230</v>
      </c>
      <c r="H935">
        <v>0</v>
      </c>
      <c r="I935" t="s">
        <v>22</v>
      </c>
      <c r="J935" t="s">
        <v>22</v>
      </c>
    </row>
    <row r="936" spans="1:10" x14ac:dyDescent="0.25">
      <c r="A936" t="s">
        <v>848</v>
      </c>
      <c r="B936" t="s">
        <v>451</v>
      </c>
      <c r="C936">
        <v>285</v>
      </c>
      <c r="D936">
        <v>450</v>
      </c>
      <c r="E936">
        <v>105</v>
      </c>
      <c r="F936">
        <v>300</v>
      </c>
      <c r="G936">
        <v>415</v>
      </c>
      <c r="H936">
        <v>0</v>
      </c>
      <c r="I936" t="s">
        <v>22</v>
      </c>
      <c r="J936" t="s">
        <v>22</v>
      </c>
    </row>
    <row r="937" spans="1:10" x14ac:dyDescent="0.25">
      <c r="A937" t="s">
        <v>849</v>
      </c>
      <c r="B937" t="s">
        <v>453</v>
      </c>
      <c r="C937">
        <v>0</v>
      </c>
      <c r="D937">
        <v>510</v>
      </c>
      <c r="E937" s="2">
        <v>1240</v>
      </c>
      <c r="F937" s="2">
        <v>1190</v>
      </c>
      <c r="G937">
        <v>0</v>
      </c>
      <c r="H937">
        <v>0</v>
      </c>
      <c r="I937" t="s">
        <v>22</v>
      </c>
      <c r="J937" t="s">
        <v>22</v>
      </c>
    </row>
    <row r="938" spans="1:10" x14ac:dyDescent="0.25">
      <c r="A938" t="s">
        <v>850</v>
      </c>
      <c r="B938" t="s">
        <v>457</v>
      </c>
      <c r="C938">
        <v>100</v>
      </c>
      <c r="D938">
        <v>100</v>
      </c>
      <c r="E938">
        <v>125</v>
      </c>
      <c r="F938">
        <v>235</v>
      </c>
      <c r="G938">
        <v>155</v>
      </c>
      <c r="H938">
        <v>0</v>
      </c>
      <c r="I938" t="s">
        <v>22</v>
      </c>
      <c r="J938" t="s">
        <v>22</v>
      </c>
    </row>
    <row r="939" spans="1:10" x14ac:dyDescent="0.25">
      <c r="A939" t="s">
        <v>851</v>
      </c>
      <c r="B939" t="s">
        <v>459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 t="s">
        <v>22</v>
      </c>
      <c r="J939" t="s">
        <v>22</v>
      </c>
    </row>
    <row r="940" spans="1:10" x14ac:dyDescent="0.25">
      <c r="A940" t="s">
        <v>852</v>
      </c>
      <c r="B940" t="s">
        <v>85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 t="s">
        <v>22</v>
      </c>
      <c r="J940" t="s">
        <v>22</v>
      </c>
    </row>
    <row r="941" spans="1:10" x14ac:dyDescent="0.25">
      <c r="A941" t="s">
        <v>853</v>
      </c>
      <c r="B941" t="s">
        <v>461</v>
      </c>
      <c r="C941" s="2">
        <v>4255</v>
      </c>
      <c r="D941" s="2">
        <v>5124</v>
      </c>
      <c r="E941" s="2">
        <v>4717</v>
      </c>
      <c r="F941" s="2">
        <v>6500</v>
      </c>
      <c r="G941" s="2">
        <v>2208</v>
      </c>
      <c r="H941">
        <v>0</v>
      </c>
      <c r="I941" t="s">
        <v>22</v>
      </c>
      <c r="J941" t="s">
        <v>22</v>
      </c>
    </row>
    <row r="942" spans="1:10" x14ac:dyDescent="0.25">
      <c r="A942" t="s">
        <v>854</v>
      </c>
      <c r="B942" t="s">
        <v>463</v>
      </c>
      <c r="C942" s="2">
        <v>4037</v>
      </c>
      <c r="D942" s="2">
        <v>6346</v>
      </c>
      <c r="E942" s="2">
        <v>12776</v>
      </c>
      <c r="F942" s="2">
        <v>13500</v>
      </c>
      <c r="G942" s="2">
        <v>8813</v>
      </c>
      <c r="H942">
        <v>0</v>
      </c>
      <c r="I942" t="s">
        <v>22</v>
      </c>
      <c r="J942" t="s">
        <v>22</v>
      </c>
    </row>
    <row r="943" spans="1:10" x14ac:dyDescent="0.25">
      <c r="A943" t="s">
        <v>855</v>
      </c>
      <c r="B943" t="s">
        <v>475</v>
      </c>
      <c r="C943" s="2">
        <v>1093</v>
      </c>
      <c r="D943">
        <v>158</v>
      </c>
      <c r="E943">
        <v>313</v>
      </c>
      <c r="F943" s="2">
        <v>1000</v>
      </c>
      <c r="G943">
        <v>110</v>
      </c>
      <c r="H943">
        <v>0</v>
      </c>
      <c r="I943" t="s">
        <v>22</v>
      </c>
      <c r="J943" t="s">
        <v>22</v>
      </c>
    </row>
    <row r="944" spans="1:10" x14ac:dyDescent="0.25">
      <c r="A944" t="s">
        <v>856</v>
      </c>
      <c r="B944" t="s">
        <v>477</v>
      </c>
      <c r="C944">
        <v>0</v>
      </c>
      <c r="D944">
        <v>0</v>
      </c>
      <c r="E944">
        <v>0</v>
      </c>
      <c r="F944">
        <v>500</v>
      </c>
      <c r="G944">
        <v>0</v>
      </c>
      <c r="H944">
        <v>0</v>
      </c>
      <c r="I944" t="s">
        <v>22</v>
      </c>
      <c r="J944" t="s">
        <v>22</v>
      </c>
    </row>
    <row r="945" spans="1:10" x14ac:dyDescent="0.25">
      <c r="C945" t="s">
        <v>108</v>
      </c>
      <c r="D945" t="s">
        <v>108</v>
      </c>
      <c r="E945" t="s">
        <v>108</v>
      </c>
      <c r="F945" t="s">
        <v>108</v>
      </c>
      <c r="G945" t="s">
        <v>108</v>
      </c>
    </row>
    <row r="946" spans="1:10" x14ac:dyDescent="0.25">
      <c r="H946" t="s">
        <v>22</v>
      </c>
      <c r="I946" t="s">
        <v>22</v>
      </c>
      <c r="J946" t="s">
        <v>22</v>
      </c>
    </row>
    <row r="947" spans="1:10" x14ac:dyDescent="0.25">
      <c r="A947" t="s">
        <v>109</v>
      </c>
    </row>
    <row r="948" spans="1:10" x14ac:dyDescent="0.25">
      <c r="B948" t="s">
        <v>478</v>
      </c>
      <c r="C948" s="2">
        <v>11620</v>
      </c>
      <c r="D948" s="2">
        <v>13695</v>
      </c>
      <c r="E948" s="2">
        <v>20873</v>
      </c>
      <c r="F948" s="2">
        <v>24725</v>
      </c>
      <c r="G948" s="2">
        <v>11931</v>
      </c>
      <c r="H948">
        <v>0</v>
      </c>
    </row>
    <row r="949" spans="1:10" x14ac:dyDescent="0.25">
      <c r="A949" t="s">
        <v>110</v>
      </c>
    </row>
    <row r="950" spans="1:10" x14ac:dyDescent="0.25">
      <c r="A950" s="1">
        <v>43991</v>
      </c>
      <c r="B950" t="s">
        <v>111</v>
      </c>
      <c r="D950" t="s">
        <v>112</v>
      </c>
      <c r="E950" t="s">
        <v>113</v>
      </c>
      <c r="F950" t="s">
        <v>114</v>
      </c>
      <c r="J950" t="s">
        <v>857</v>
      </c>
    </row>
    <row r="951" spans="1:10" x14ac:dyDescent="0.25">
      <c r="D951" t="s">
        <v>116</v>
      </c>
      <c r="E951" t="s">
        <v>117</v>
      </c>
      <c r="F951" t="s">
        <v>118</v>
      </c>
    </row>
    <row r="952" spans="1:10" x14ac:dyDescent="0.25">
      <c r="D952" t="s">
        <v>119</v>
      </c>
      <c r="E952" t="s">
        <v>120</v>
      </c>
      <c r="F952" t="s">
        <v>121</v>
      </c>
    </row>
    <row r="953" spans="1:10" x14ac:dyDescent="0.25">
      <c r="A953" t="s">
        <v>122</v>
      </c>
      <c r="B953" t="s">
        <v>123</v>
      </c>
    </row>
    <row r="954" spans="1:10" x14ac:dyDescent="0.25">
      <c r="A954" t="s">
        <v>386</v>
      </c>
    </row>
    <row r="955" spans="1:10" x14ac:dyDescent="0.25">
      <c r="F955" t="s">
        <v>2</v>
      </c>
      <c r="G955" t="s">
        <v>3</v>
      </c>
      <c r="H955" t="s">
        <v>4</v>
      </c>
      <c r="I955" t="s">
        <v>5</v>
      </c>
      <c r="J955" t="s">
        <v>6</v>
      </c>
    </row>
    <row r="956" spans="1:10" x14ac:dyDescent="0.25">
      <c r="C956" t="s">
        <v>7</v>
      </c>
      <c r="D956" t="s">
        <v>8</v>
      </c>
      <c r="E956" t="s">
        <v>9</v>
      </c>
      <c r="F956" t="s">
        <v>10</v>
      </c>
      <c r="G956" t="s">
        <v>124</v>
      </c>
      <c r="H956" t="s">
        <v>12</v>
      </c>
      <c r="I956" t="s">
        <v>13</v>
      </c>
      <c r="J956" t="s">
        <v>14</v>
      </c>
    </row>
    <row r="957" spans="1:10" x14ac:dyDescent="0.25">
      <c r="C957" t="s">
        <v>15</v>
      </c>
      <c r="D957" t="s">
        <v>15</v>
      </c>
      <c r="E957" t="s">
        <v>15</v>
      </c>
      <c r="F957" t="s">
        <v>16</v>
      </c>
      <c r="G957" t="s">
        <v>15</v>
      </c>
      <c r="H957" t="s">
        <v>17</v>
      </c>
      <c r="I957" t="s">
        <v>16</v>
      </c>
      <c r="J957" t="s">
        <v>16</v>
      </c>
    </row>
    <row r="958" spans="1:10" x14ac:dyDescent="0.25">
      <c r="A958" t="s">
        <v>18</v>
      </c>
      <c r="B958" t="s">
        <v>19</v>
      </c>
      <c r="C958" t="s">
        <v>20</v>
      </c>
      <c r="D958" t="s">
        <v>21</v>
      </c>
      <c r="E958" t="s">
        <v>22</v>
      </c>
      <c r="F958" t="s">
        <v>23</v>
      </c>
      <c r="G958" t="s">
        <v>24</v>
      </c>
      <c r="H958" t="s">
        <v>20</v>
      </c>
      <c r="I958" t="s">
        <v>24</v>
      </c>
      <c r="J958" t="s">
        <v>20</v>
      </c>
    </row>
    <row r="960" spans="1:10" x14ac:dyDescent="0.25">
      <c r="A960" t="s">
        <v>489</v>
      </c>
    </row>
    <row r="961" spans="1:10" x14ac:dyDescent="0.25">
      <c r="A961" t="s">
        <v>18</v>
      </c>
    </row>
    <row r="962" spans="1:10" x14ac:dyDescent="0.25">
      <c r="A962" t="s">
        <v>858</v>
      </c>
      <c r="B962" t="s">
        <v>491</v>
      </c>
      <c r="C962">
        <v>0</v>
      </c>
      <c r="D962">
        <v>139</v>
      </c>
      <c r="E962">
        <v>0</v>
      </c>
      <c r="F962">
        <v>180</v>
      </c>
      <c r="G962">
        <v>0</v>
      </c>
      <c r="H962">
        <v>0</v>
      </c>
      <c r="I962" t="s">
        <v>22</v>
      </c>
      <c r="J962" t="s">
        <v>22</v>
      </c>
    </row>
    <row r="963" spans="1:10" x14ac:dyDescent="0.25">
      <c r="A963" t="s">
        <v>859</v>
      </c>
      <c r="B963" t="s">
        <v>493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 t="s">
        <v>22</v>
      </c>
      <c r="J963" t="s">
        <v>22</v>
      </c>
    </row>
    <row r="964" spans="1:10" x14ac:dyDescent="0.25">
      <c r="A964" t="s">
        <v>860</v>
      </c>
      <c r="B964" t="s">
        <v>489</v>
      </c>
      <c r="C964">
        <v>169</v>
      </c>
      <c r="D964">
        <v>193</v>
      </c>
      <c r="E964">
        <v>90</v>
      </c>
      <c r="F964">
        <v>500</v>
      </c>
      <c r="G964">
        <v>550</v>
      </c>
      <c r="H964">
        <v>0</v>
      </c>
      <c r="I964" t="s">
        <v>22</v>
      </c>
      <c r="J964" t="s">
        <v>22</v>
      </c>
    </row>
    <row r="965" spans="1:10" x14ac:dyDescent="0.25">
      <c r="A965" t="s">
        <v>861</v>
      </c>
      <c r="B965" t="s">
        <v>498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 t="s">
        <v>22</v>
      </c>
      <c r="J965" t="s">
        <v>22</v>
      </c>
    </row>
    <row r="966" spans="1:10" x14ac:dyDescent="0.25">
      <c r="A966" t="s">
        <v>862</v>
      </c>
      <c r="B966" t="s">
        <v>500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 t="s">
        <v>22</v>
      </c>
      <c r="J966" t="s">
        <v>22</v>
      </c>
    </row>
    <row r="967" spans="1:10" x14ac:dyDescent="0.25">
      <c r="C967" t="s">
        <v>108</v>
      </c>
      <c r="D967" t="s">
        <v>108</v>
      </c>
      <c r="E967" t="s">
        <v>108</v>
      </c>
      <c r="F967" t="s">
        <v>108</v>
      </c>
      <c r="G967" t="s">
        <v>108</v>
      </c>
    </row>
    <row r="968" spans="1:10" x14ac:dyDescent="0.25">
      <c r="H968" t="s">
        <v>22</v>
      </c>
      <c r="I968" t="s">
        <v>22</v>
      </c>
      <c r="J968" t="s">
        <v>22</v>
      </c>
    </row>
    <row r="969" spans="1:10" x14ac:dyDescent="0.25">
      <c r="A969" t="s">
        <v>109</v>
      </c>
    </row>
    <row r="970" spans="1:10" x14ac:dyDescent="0.25">
      <c r="B970" t="s">
        <v>489</v>
      </c>
      <c r="C970">
        <v>169</v>
      </c>
      <c r="D970">
        <v>332</v>
      </c>
      <c r="E970">
        <v>90</v>
      </c>
      <c r="F970">
        <v>680</v>
      </c>
      <c r="G970">
        <v>550</v>
      </c>
      <c r="H970">
        <v>0</v>
      </c>
    </row>
    <row r="972" spans="1:10" x14ac:dyDescent="0.25">
      <c r="A972" t="s">
        <v>501</v>
      </c>
    </row>
    <row r="973" spans="1:10" x14ac:dyDescent="0.25">
      <c r="A973" t="s">
        <v>18</v>
      </c>
    </row>
    <row r="974" spans="1:10" x14ac:dyDescent="0.25">
      <c r="A974" t="s">
        <v>863</v>
      </c>
      <c r="B974" t="s">
        <v>503</v>
      </c>
      <c r="C974" s="2">
        <v>4632</v>
      </c>
      <c r="D974" s="2">
        <v>1700</v>
      </c>
      <c r="E974" s="2">
        <v>10514</v>
      </c>
      <c r="F974" s="2">
        <v>12000</v>
      </c>
      <c r="G974" s="2">
        <v>46849</v>
      </c>
      <c r="H974">
        <v>0</v>
      </c>
      <c r="I974" t="s">
        <v>22</v>
      </c>
      <c r="J974" t="s">
        <v>22</v>
      </c>
    </row>
    <row r="975" spans="1:10" x14ac:dyDescent="0.25">
      <c r="A975" t="s">
        <v>864</v>
      </c>
      <c r="B975" t="s">
        <v>507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 t="s">
        <v>22</v>
      </c>
      <c r="J975" t="s">
        <v>22</v>
      </c>
    </row>
    <row r="976" spans="1:10" x14ac:dyDescent="0.25">
      <c r="A976" t="s">
        <v>865</v>
      </c>
      <c r="B976" t="s">
        <v>521</v>
      </c>
      <c r="C976">
        <v>0</v>
      </c>
      <c r="D976" s="2">
        <v>5000</v>
      </c>
      <c r="E976" s="2">
        <v>11525</v>
      </c>
      <c r="F976" s="2">
        <v>5725</v>
      </c>
      <c r="G976" s="2">
        <v>1809</v>
      </c>
      <c r="H976">
        <v>0</v>
      </c>
      <c r="I976" t="s">
        <v>22</v>
      </c>
      <c r="J976" t="s">
        <v>22</v>
      </c>
    </row>
    <row r="977" spans="1:10" x14ac:dyDescent="0.25">
      <c r="C977" t="s">
        <v>108</v>
      </c>
      <c r="D977" t="s">
        <v>108</v>
      </c>
      <c r="E977" t="s">
        <v>108</v>
      </c>
      <c r="F977" t="s">
        <v>108</v>
      </c>
      <c r="G977" t="s">
        <v>108</v>
      </c>
    </row>
    <row r="978" spans="1:10" x14ac:dyDescent="0.25">
      <c r="H978" t="s">
        <v>22</v>
      </c>
      <c r="I978" t="s">
        <v>22</v>
      </c>
      <c r="J978" t="s">
        <v>22</v>
      </c>
    </row>
    <row r="979" spans="1:10" x14ac:dyDescent="0.25">
      <c r="A979" t="s">
        <v>109</v>
      </c>
    </row>
    <row r="980" spans="1:10" x14ac:dyDescent="0.25">
      <c r="B980" t="s">
        <v>501</v>
      </c>
      <c r="C980" s="2">
        <v>4632</v>
      </c>
      <c r="D980" s="2">
        <v>6700</v>
      </c>
      <c r="E980" s="2">
        <v>22039</v>
      </c>
      <c r="F980" s="2">
        <v>17725</v>
      </c>
      <c r="G980" s="2">
        <v>48658</v>
      </c>
      <c r="H980">
        <v>0</v>
      </c>
    </row>
    <row r="981" spans="1:10" x14ac:dyDescent="0.25">
      <c r="A981" t="s">
        <v>18</v>
      </c>
      <c r="B981" t="s">
        <v>19</v>
      </c>
      <c r="C981" t="s">
        <v>20</v>
      </c>
      <c r="D981" t="s">
        <v>21</v>
      </c>
      <c r="E981" t="s">
        <v>26</v>
      </c>
    </row>
    <row r="982" spans="1:10" x14ac:dyDescent="0.25">
      <c r="E982" t="s">
        <v>339</v>
      </c>
      <c r="F982" t="s">
        <v>23</v>
      </c>
      <c r="G982" t="s">
        <v>24</v>
      </c>
      <c r="H982" t="s">
        <v>20</v>
      </c>
      <c r="I982" t="s">
        <v>24</v>
      </c>
      <c r="J982" t="s">
        <v>20</v>
      </c>
    </row>
    <row r="983" spans="1:10" x14ac:dyDescent="0.25">
      <c r="A983" t="s">
        <v>109</v>
      </c>
    </row>
    <row r="984" spans="1:10" x14ac:dyDescent="0.25">
      <c r="A984">
        <v>16</v>
      </c>
      <c r="B984" t="e">
        <f>-CITY SECRETARY</f>
        <v>#NAME?</v>
      </c>
      <c r="C984" s="2">
        <v>121025</v>
      </c>
      <c r="D984" s="2">
        <v>118459</v>
      </c>
      <c r="E984" s="2">
        <v>154174</v>
      </c>
      <c r="F984" s="2">
        <v>150633</v>
      </c>
      <c r="G984" s="2">
        <v>142771</v>
      </c>
      <c r="H984">
        <v>0</v>
      </c>
    </row>
    <row r="986" spans="1:10" x14ac:dyDescent="0.25">
      <c r="A986" t="s">
        <v>866</v>
      </c>
      <c r="B986" t="s">
        <v>867</v>
      </c>
    </row>
    <row r="987" spans="1:10" x14ac:dyDescent="0.25">
      <c r="A987" t="s">
        <v>389</v>
      </c>
      <c r="B987" t="s">
        <v>567</v>
      </c>
    </row>
    <row r="989" spans="1:10" x14ac:dyDescent="0.25">
      <c r="A989" t="s">
        <v>391</v>
      </c>
      <c r="B989" t="s">
        <v>392</v>
      </c>
    </row>
    <row r="990" spans="1:10" x14ac:dyDescent="0.25">
      <c r="A990" t="s">
        <v>18</v>
      </c>
      <c r="B990" t="s">
        <v>228</v>
      </c>
    </row>
    <row r="991" spans="1:10" x14ac:dyDescent="0.25">
      <c r="A991" t="s">
        <v>868</v>
      </c>
      <c r="B991" t="s">
        <v>869</v>
      </c>
      <c r="C991" s="2">
        <v>1643</v>
      </c>
      <c r="D991">
        <v>220</v>
      </c>
      <c r="E991">
        <v>0</v>
      </c>
      <c r="F991">
        <v>0</v>
      </c>
      <c r="G991">
        <v>0</v>
      </c>
      <c r="H991">
        <v>0</v>
      </c>
      <c r="I991" t="s">
        <v>22</v>
      </c>
      <c r="J991" t="s">
        <v>22</v>
      </c>
    </row>
    <row r="992" spans="1:10" x14ac:dyDescent="0.25">
      <c r="A992" t="s">
        <v>870</v>
      </c>
      <c r="B992" t="s">
        <v>396</v>
      </c>
      <c r="C992">
        <v>18</v>
      </c>
      <c r="D992">
        <v>18</v>
      </c>
      <c r="E992">
        <v>234</v>
      </c>
      <c r="F992">
        <v>504</v>
      </c>
      <c r="G992">
        <v>78</v>
      </c>
      <c r="H992">
        <v>0</v>
      </c>
      <c r="I992" t="s">
        <v>22</v>
      </c>
      <c r="J992" t="s">
        <v>22</v>
      </c>
    </row>
    <row r="993" spans="1:10" x14ac:dyDescent="0.25">
      <c r="A993" t="s">
        <v>871</v>
      </c>
      <c r="B993" t="s">
        <v>398</v>
      </c>
      <c r="C993" s="2">
        <v>11800</v>
      </c>
      <c r="D993" s="2">
        <v>11630</v>
      </c>
      <c r="E993" s="2">
        <v>12096</v>
      </c>
      <c r="F993" s="2">
        <v>16499</v>
      </c>
      <c r="G993" s="2">
        <v>9058</v>
      </c>
      <c r="H993">
        <v>0</v>
      </c>
      <c r="I993" t="s">
        <v>22</v>
      </c>
      <c r="J993" t="s">
        <v>22</v>
      </c>
    </row>
    <row r="994" spans="1:10" x14ac:dyDescent="0.25">
      <c r="A994" t="s">
        <v>872</v>
      </c>
      <c r="B994" t="s">
        <v>400</v>
      </c>
      <c r="C994" s="2">
        <v>12764</v>
      </c>
      <c r="D994" s="2">
        <v>12769</v>
      </c>
      <c r="E994" s="2">
        <v>14307</v>
      </c>
      <c r="F994" s="2">
        <v>20325</v>
      </c>
      <c r="G994" s="2">
        <v>9077</v>
      </c>
      <c r="H994">
        <v>0</v>
      </c>
      <c r="I994" t="s">
        <v>22</v>
      </c>
      <c r="J994" t="s">
        <v>22</v>
      </c>
    </row>
    <row r="995" spans="1:10" x14ac:dyDescent="0.25">
      <c r="A995" t="s">
        <v>873</v>
      </c>
      <c r="B995" t="s">
        <v>402</v>
      </c>
      <c r="C995" s="2">
        <v>28370</v>
      </c>
      <c r="D995" s="2">
        <v>24190</v>
      </c>
      <c r="E995" s="2">
        <v>28500</v>
      </c>
      <c r="F995" s="2">
        <v>34526</v>
      </c>
      <c r="G995" s="2">
        <v>20501</v>
      </c>
      <c r="H995">
        <v>0</v>
      </c>
      <c r="I995" t="s">
        <v>22</v>
      </c>
      <c r="J995" t="s">
        <v>22</v>
      </c>
    </row>
    <row r="996" spans="1:10" x14ac:dyDescent="0.25">
      <c r="A996" t="s">
        <v>874</v>
      </c>
      <c r="B996" t="s">
        <v>404</v>
      </c>
      <c r="C996" s="2">
        <v>1328</v>
      </c>
      <c r="D996" s="2">
        <v>1215</v>
      </c>
      <c r="E996" s="2">
        <v>1318</v>
      </c>
      <c r="F996" s="2">
        <v>1690</v>
      </c>
      <c r="G996" s="2">
        <v>1422</v>
      </c>
      <c r="H996">
        <v>0</v>
      </c>
      <c r="I996" t="s">
        <v>22</v>
      </c>
      <c r="J996" t="s">
        <v>22</v>
      </c>
    </row>
    <row r="997" spans="1:10" x14ac:dyDescent="0.25">
      <c r="A997" t="s">
        <v>875</v>
      </c>
      <c r="B997" t="s">
        <v>406</v>
      </c>
      <c r="C997">
        <v>530</v>
      </c>
      <c r="D997" s="2">
        <v>2524</v>
      </c>
      <c r="E997">
        <v>581</v>
      </c>
      <c r="F997">
        <v>639</v>
      </c>
      <c r="G997" s="2">
        <v>1127</v>
      </c>
      <c r="H997">
        <v>0</v>
      </c>
      <c r="I997" t="s">
        <v>22</v>
      </c>
      <c r="J997" t="s">
        <v>22</v>
      </c>
    </row>
    <row r="998" spans="1:10" x14ac:dyDescent="0.25">
      <c r="A998" t="s">
        <v>876</v>
      </c>
      <c r="B998" t="s">
        <v>877</v>
      </c>
      <c r="C998" s="2">
        <v>75457</v>
      </c>
      <c r="D998" s="2">
        <v>85104</v>
      </c>
      <c r="E998" s="2">
        <v>85487</v>
      </c>
      <c r="F998" s="2">
        <v>89761</v>
      </c>
      <c r="G998" s="2">
        <v>61814</v>
      </c>
      <c r="H998">
        <v>0</v>
      </c>
      <c r="I998" t="s">
        <v>22</v>
      </c>
      <c r="J998" t="s">
        <v>22</v>
      </c>
    </row>
    <row r="999" spans="1:10" x14ac:dyDescent="0.25">
      <c r="A999" t="s">
        <v>878</v>
      </c>
      <c r="B999" t="s">
        <v>879</v>
      </c>
      <c r="C999">
        <v>0</v>
      </c>
      <c r="D999">
        <v>0</v>
      </c>
      <c r="E999">
        <v>0</v>
      </c>
      <c r="F999" s="2">
        <v>36750</v>
      </c>
      <c r="G999" s="2">
        <v>3635</v>
      </c>
      <c r="H999">
        <v>0</v>
      </c>
      <c r="I999" t="s">
        <v>22</v>
      </c>
      <c r="J999" t="s">
        <v>22</v>
      </c>
    </row>
    <row r="1000" spans="1:10" x14ac:dyDescent="0.25">
      <c r="A1000" t="s">
        <v>880</v>
      </c>
      <c r="B1000" t="s">
        <v>422</v>
      </c>
      <c r="C1000" s="2">
        <v>4200</v>
      </c>
      <c r="D1000" s="2">
        <v>4200</v>
      </c>
      <c r="E1000" s="2">
        <v>4200</v>
      </c>
      <c r="F1000" s="2">
        <v>4200</v>
      </c>
      <c r="G1000" s="2">
        <v>2908</v>
      </c>
      <c r="H1000">
        <v>0</v>
      </c>
      <c r="I1000" t="s">
        <v>22</v>
      </c>
      <c r="J1000" t="s">
        <v>22</v>
      </c>
    </row>
    <row r="1001" spans="1:10" x14ac:dyDescent="0.25">
      <c r="A1001" t="s">
        <v>881</v>
      </c>
      <c r="B1001" t="s">
        <v>690</v>
      </c>
      <c r="C1001">
        <v>311</v>
      </c>
      <c r="D1001">
        <v>381</v>
      </c>
      <c r="E1001">
        <v>311</v>
      </c>
      <c r="F1001">
        <v>428</v>
      </c>
      <c r="G1001">
        <v>381</v>
      </c>
      <c r="H1001">
        <v>0</v>
      </c>
      <c r="I1001" t="s">
        <v>22</v>
      </c>
      <c r="J1001" t="s">
        <v>22</v>
      </c>
    </row>
    <row r="1002" spans="1:10" x14ac:dyDescent="0.25">
      <c r="A1002" t="s">
        <v>882</v>
      </c>
      <c r="B1002" t="s">
        <v>426</v>
      </c>
      <c r="C1002">
        <v>810</v>
      </c>
      <c r="D1002">
        <v>810</v>
      </c>
      <c r="E1002">
        <v>810</v>
      </c>
      <c r="F1002">
        <v>810</v>
      </c>
      <c r="G1002">
        <v>830</v>
      </c>
      <c r="H1002">
        <v>0</v>
      </c>
      <c r="I1002" t="s">
        <v>22</v>
      </c>
      <c r="J1002" t="s">
        <v>22</v>
      </c>
    </row>
    <row r="1003" spans="1:10" x14ac:dyDescent="0.25">
      <c r="A1003" t="s">
        <v>883</v>
      </c>
      <c r="B1003" t="s">
        <v>428</v>
      </c>
      <c r="C1003" s="2">
        <v>1200</v>
      </c>
      <c r="D1003">
        <v>900</v>
      </c>
      <c r="E1003">
        <v>600</v>
      </c>
      <c r="F1003" s="2">
        <v>1550</v>
      </c>
      <c r="G1003">
        <v>438</v>
      </c>
      <c r="H1003">
        <v>0</v>
      </c>
      <c r="I1003" t="s">
        <v>22</v>
      </c>
      <c r="J1003" t="s">
        <v>22</v>
      </c>
    </row>
    <row r="1004" spans="1:10" x14ac:dyDescent="0.25">
      <c r="A1004" t="s">
        <v>884</v>
      </c>
      <c r="B1004" t="s">
        <v>430</v>
      </c>
      <c r="C1004">
        <v>69</v>
      </c>
      <c r="D1004">
        <v>69</v>
      </c>
      <c r="E1004">
        <v>69</v>
      </c>
      <c r="F1004">
        <v>69</v>
      </c>
      <c r="G1004">
        <v>69</v>
      </c>
      <c r="H1004">
        <v>0</v>
      </c>
      <c r="I1004" t="s">
        <v>22</v>
      </c>
      <c r="J1004" t="s">
        <v>22</v>
      </c>
    </row>
    <row r="1005" spans="1:10" x14ac:dyDescent="0.25">
      <c r="A1005" t="s">
        <v>885</v>
      </c>
      <c r="B1005" t="s">
        <v>432</v>
      </c>
      <c r="C1005">
        <v>0</v>
      </c>
      <c r="D1005">
        <v>0</v>
      </c>
      <c r="E1005">
        <v>0</v>
      </c>
      <c r="F1005">
        <v>0</v>
      </c>
      <c r="G1005">
        <v>0</v>
      </c>
      <c r="H1005">
        <v>0</v>
      </c>
      <c r="I1005" t="s">
        <v>22</v>
      </c>
      <c r="J1005" t="s">
        <v>22</v>
      </c>
    </row>
    <row r="1006" spans="1:10" x14ac:dyDescent="0.25">
      <c r="A1006" t="s">
        <v>886</v>
      </c>
      <c r="B1006" t="s">
        <v>434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 t="s">
        <v>22</v>
      </c>
      <c r="J1006" t="s">
        <v>22</v>
      </c>
    </row>
    <row r="1007" spans="1:10" x14ac:dyDescent="0.25">
      <c r="A1007" t="s">
        <v>887</v>
      </c>
      <c r="B1007" t="s">
        <v>436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 t="s">
        <v>22</v>
      </c>
      <c r="J1007" t="s">
        <v>22</v>
      </c>
    </row>
    <row r="1008" spans="1:10" x14ac:dyDescent="0.25">
      <c r="A1008" t="s">
        <v>888</v>
      </c>
      <c r="B1008" t="s">
        <v>607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 t="s">
        <v>22</v>
      </c>
      <c r="J1008" t="s">
        <v>22</v>
      </c>
    </row>
    <row r="1009" spans="1:10" x14ac:dyDescent="0.25">
      <c r="A1009" t="s">
        <v>889</v>
      </c>
      <c r="B1009" t="s">
        <v>890</v>
      </c>
      <c r="C1009" s="2">
        <v>74844</v>
      </c>
      <c r="D1009" s="2">
        <v>63424</v>
      </c>
      <c r="E1009" s="2">
        <v>70000</v>
      </c>
      <c r="F1009" s="2">
        <v>73500</v>
      </c>
      <c r="G1009" s="2">
        <v>50616</v>
      </c>
      <c r="H1009">
        <v>0</v>
      </c>
      <c r="I1009" t="s">
        <v>22</v>
      </c>
      <c r="J1009" t="s">
        <v>22</v>
      </c>
    </row>
    <row r="1010" spans="1:10" x14ac:dyDescent="0.25">
      <c r="C1010" t="s">
        <v>108</v>
      </c>
      <c r="D1010" t="s">
        <v>108</v>
      </c>
      <c r="E1010" t="s">
        <v>108</v>
      </c>
      <c r="F1010" t="s">
        <v>108</v>
      </c>
      <c r="G1010" t="s">
        <v>108</v>
      </c>
    </row>
    <row r="1011" spans="1:10" x14ac:dyDescent="0.25">
      <c r="H1011" t="s">
        <v>22</v>
      </c>
      <c r="I1011" t="s">
        <v>22</v>
      </c>
      <c r="J1011" t="s">
        <v>22</v>
      </c>
    </row>
    <row r="1012" spans="1:10" x14ac:dyDescent="0.25">
      <c r="A1012" t="s">
        <v>109</v>
      </c>
    </row>
    <row r="1013" spans="1:10" x14ac:dyDescent="0.25">
      <c r="B1013" t="s">
        <v>441</v>
      </c>
      <c r="C1013" s="2">
        <v>213343</v>
      </c>
      <c r="D1013" s="2">
        <v>207455</v>
      </c>
      <c r="E1013" s="2">
        <v>218513</v>
      </c>
      <c r="F1013" s="2">
        <v>281250</v>
      </c>
      <c r="G1013" s="2">
        <v>161955</v>
      </c>
      <c r="H1013">
        <v>0</v>
      </c>
    </row>
    <row r="1015" spans="1:10" x14ac:dyDescent="0.25">
      <c r="A1015" t="s">
        <v>442</v>
      </c>
      <c r="B1015" t="s">
        <v>443</v>
      </c>
    </row>
    <row r="1016" spans="1:10" x14ac:dyDescent="0.25">
      <c r="A1016" t="s">
        <v>18</v>
      </c>
      <c r="B1016" t="s">
        <v>21</v>
      </c>
    </row>
    <row r="1017" spans="1:10" x14ac:dyDescent="0.25">
      <c r="A1017" t="s">
        <v>891</v>
      </c>
      <c r="B1017" t="s">
        <v>445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 t="s">
        <v>22</v>
      </c>
      <c r="J1017" t="s">
        <v>22</v>
      </c>
    </row>
    <row r="1018" spans="1:10" x14ac:dyDescent="0.25">
      <c r="A1018" t="s">
        <v>892</v>
      </c>
      <c r="B1018" t="s">
        <v>449</v>
      </c>
      <c r="C1018" s="2">
        <v>6430</v>
      </c>
      <c r="D1018" s="2">
        <v>3276</v>
      </c>
      <c r="E1018" s="2">
        <v>3406</v>
      </c>
      <c r="F1018" s="2">
        <v>9750</v>
      </c>
      <c r="G1018">
        <v>488</v>
      </c>
      <c r="H1018">
        <v>0</v>
      </c>
      <c r="I1018" t="s">
        <v>22</v>
      </c>
      <c r="J1018" t="s">
        <v>22</v>
      </c>
    </row>
    <row r="1019" spans="1:10" x14ac:dyDescent="0.25">
      <c r="A1019" t="s">
        <v>893</v>
      </c>
      <c r="B1019" t="s">
        <v>451</v>
      </c>
      <c r="C1019" s="2">
        <v>1895</v>
      </c>
      <c r="D1019">
        <v>495</v>
      </c>
      <c r="E1019" s="2">
        <v>1750</v>
      </c>
      <c r="F1019" s="2">
        <v>1300</v>
      </c>
      <c r="G1019">
        <v>648</v>
      </c>
      <c r="H1019">
        <v>0</v>
      </c>
      <c r="I1019" t="s">
        <v>22</v>
      </c>
      <c r="J1019" t="s">
        <v>22</v>
      </c>
    </row>
    <row r="1020" spans="1:10" x14ac:dyDescent="0.25">
      <c r="A1020" t="s">
        <v>894</v>
      </c>
      <c r="B1020" t="s">
        <v>453</v>
      </c>
      <c r="C1020" s="2">
        <v>3289</v>
      </c>
      <c r="D1020" s="2">
        <v>1880</v>
      </c>
      <c r="E1020">
        <v>835</v>
      </c>
      <c r="F1020" s="2">
        <v>3000</v>
      </c>
      <c r="G1020" s="2">
        <v>2269</v>
      </c>
      <c r="H1020">
        <v>0</v>
      </c>
      <c r="I1020" t="s">
        <v>22</v>
      </c>
      <c r="J1020" t="s">
        <v>22</v>
      </c>
    </row>
    <row r="1021" spans="1:10" x14ac:dyDescent="0.25">
      <c r="A1021" t="s">
        <v>895</v>
      </c>
      <c r="B1021" t="s">
        <v>896</v>
      </c>
      <c r="C1021" s="2">
        <v>2256</v>
      </c>
      <c r="D1021" s="2">
        <v>2812</v>
      </c>
      <c r="E1021" s="2">
        <v>3044</v>
      </c>
      <c r="F1021" s="2">
        <v>3500</v>
      </c>
      <c r="G1021" s="2">
        <v>3319</v>
      </c>
      <c r="H1021">
        <v>0</v>
      </c>
      <c r="I1021" t="s">
        <v>22</v>
      </c>
      <c r="J1021" t="s">
        <v>22</v>
      </c>
    </row>
    <row r="1022" spans="1:10" x14ac:dyDescent="0.25">
      <c r="A1022" t="s">
        <v>897</v>
      </c>
      <c r="B1022" t="s">
        <v>898</v>
      </c>
      <c r="C1022" s="2">
        <v>26238</v>
      </c>
      <c r="D1022" s="2">
        <v>11108</v>
      </c>
      <c r="E1022" s="2">
        <v>7990</v>
      </c>
      <c r="F1022" s="2">
        <v>11000</v>
      </c>
      <c r="G1022" s="2">
        <v>4985</v>
      </c>
      <c r="H1022">
        <v>0</v>
      </c>
      <c r="I1022" t="s">
        <v>22</v>
      </c>
      <c r="J1022" t="s">
        <v>22</v>
      </c>
    </row>
    <row r="1023" spans="1:10" x14ac:dyDescent="0.25">
      <c r="A1023" t="s">
        <v>899</v>
      </c>
      <c r="B1023" t="s">
        <v>457</v>
      </c>
      <c r="C1023" s="2">
        <v>2325</v>
      </c>
      <c r="D1023" s="2">
        <v>4305</v>
      </c>
      <c r="E1023" s="2">
        <v>3932</v>
      </c>
      <c r="F1023" s="2">
        <v>7750</v>
      </c>
      <c r="G1023" s="2">
        <v>6025</v>
      </c>
      <c r="H1023">
        <v>0</v>
      </c>
      <c r="I1023" t="s">
        <v>22</v>
      </c>
      <c r="J1023" t="s">
        <v>22</v>
      </c>
    </row>
    <row r="1024" spans="1:10" x14ac:dyDescent="0.25">
      <c r="A1024" t="s">
        <v>110</v>
      </c>
    </row>
    <row r="1025" spans="1:10" x14ac:dyDescent="0.25">
      <c r="A1025" s="1">
        <v>43991</v>
      </c>
      <c r="B1025" t="s">
        <v>111</v>
      </c>
      <c r="D1025" t="s">
        <v>112</v>
      </c>
      <c r="E1025" t="s">
        <v>113</v>
      </c>
      <c r="F1025" t="s">
        <v>114</v>
      </c>
      <c r="J1025" t="s">
        <v>900</v>
      </c>
    </row>
    <row r="1026" spans="1:10" x14ac:dyDescent="0.25">
      <c r="D1026" t="s">
        <v>116</v>
      </c>
      <c r="E1026" t="s">
        <v>117</v>
      </c>
      <c r="F1026" t="s">
        <v>118</v>
      </c>
    </row>
    <row r="1027" spans="1:10" x14ac:dyDescent="0.25">
      <c r="D1027" t="s">
        <v>119</v>
      </c>
      <c r="E1027" t="s">
        <v>120</v>
      </c>
      <c r="F1027" t="s">
        <v>121</v>
      </c>
    </row>
    <row r="1028" spans="1:10" x14ac:dyDescent="0.25">
      <c r="A1028" t="s">
        <v>122</v>
      </c>
      <c r="B1028" t="s">
        <v>123</v>
      </c>
    </row>
    <row r="1029" spans="1:10" x14ac:dyDescent="0.25">
      <c r="A1029" t="s">
        <v>386</v>
      </c>
    </row>
    <row r="1030" spans="1:10" x14ac:dyDescent="0.25">
      <c r="F1030" t="s">
        <v>2</v>
      </c>
      <c r="G1030" t="s">
        <v>3</v>
      </c>
      <c r="H1030" t="s">
        <v>4</v>
      </c>
      <c r="I1030" t="s">
        <v>5</v>
      </c>
      <c r="J1030" t="s">
        <v>6</v>
      </c>
    </row>
    <row r="1031" spans="1:10" x14ac:dyDescent="0.25">
      <c r="C1031" t="s">
        <v>7</v>
      </c>
      <c r="D1031" t="s">
        <v>8</v>
      </c>
      <c r="E1031" t="s">
        <v>9</v>
      </c>
      <c r="F1031" t="s">
        <v>10</v>
      </c>
      <c r="G1031" t="s">
        <v>124</v>
      </c>
      <c r="H1031" t="s">
        <v>12</v>
      </c>
      <c r="I1031" t="s">
        <v>13</v>
      </c>
      <c r="J1031" t="s">
        <v>14</v>
      </c>
    </row>
    <row r="1032" spans="1:10" x14ac:dyDescent="0.25">
      <c r="C1032" t="s">
        <v>15</v>
      </c>
      <c r="D1032" t="s">
        <v>15</v>
      </c>
      <c r="E1032" t="s">
        <v>15</v>
      </c>
      <c r="F1032" t="s">
        <v>16</v>
      </c>
      <c r="G1032" t="s">
        <v>15</v>
      </c>
      <c r="H1032" t="s">
        <v>17</v>
      </c>
      <c r="I1032" t="s">
        <v>16</v>
      </c>
      <c r="J1032" t="s">
        <v>16</v>
      </c>
    </row>
    <row r="1033" spans="1:10" x14ac:dyDescent="0.25">
      <c r="A1033" t="s">
        <v>18</v>
      </c>
      <c r="B1033" t="s">
        <v>19</v>
      </c>
      <c r="C1033" t="s">
        <v>20</v>
      </c>
      <c r="D1033" t="s">
        <v>21</v>
      </c>
      <c r="E1033" t="s">
        <v>22</v>
      </c>
      <c r="F1033" t="s">
        <v>23</v>
      </c>
      <c r="G1033" t="s">
        <v>24</v>
      </c>
      <c r="H1033" t="s">
        <v>20</v>
      </c>
      <c r="I1033" t="s">
        <v>24</v>
      </c>
      <c r="J1033" t="s">
        <v>20</v>
      </c>
    </row>
    <row r="1034" spans="1:10" x14ac:dyDescent="0.25">
      <c r="A1034" t="s">
        <v>901</v>
      </c>
      <c r="B1034" t="s">
        <v>459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v>0</v>
      </c>
      <c r="I1034" t="s">
        <v>22</v>
      </c>
      <c r="J1034" t="s">
        <v>22</v>
      </c>
    </row>
    <row r="1035" spans="1:10" x14ac:dyDescent="0.25">
      <c r="A1035" t="s">
        <v>902</v>
      </c>
      <c r="B1035" t="s">
        <v>461</v>
      </c>
      <c r="C1035">
        <v>0</v>
      </c>
      <c r="D1035">
        <v>0</v>
      </c>
      <c r="E1035">
        <v>0</v>
      </c>
      <c r="F1035">
        <v>0</v>
      </c>
      <c r="G1035">
        <v>0</v>
      </c>
      <c r="H1035">
        <v>0</v>
      </c>
      <c r="I1035" t="s">
        <v>22</v>
      </c>
      <c r="J1035" t="s">
        <v>22</v>
      </c>
    </row>
    <row r="1036" spans="1:10" x14ac:dyDescent="0.25">
      <c r="A1036" t="s">
        <v>903</v>
      </c>
      <c r="B1036" t="s">
        <v>465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v>0</v>
      </c>
      <c r="I1036" t="s">
        <v>22</v>
      </c>
      <c r="J1036" t="s">
        <v>22</v>
      </c>
    </row>
    <row r="1037" spans="1:10" x14ac:dyDescent="0.25">
      <c r="A1037" t="s">
        <v>904</v>
      </c>
      <c r="B1037" t="s">
        <v>710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 t="s">
        <v>22</v>
      </c>
      <c r="J1037" t="s">
        <v>22</v>
      </c>
    </row>
    <row r="1038" spans="1:10" x14ac:dyDescent="0.25">
      <c r="A1038" t="s">
        <v>905</v>
      </c>
      <c r="B1038" t="s">
        <v>471</v>
      </c>
      <c r="C1038">
        <v>0</v>
      </c>
      <c r="D1038">
        <v>139</v>
      </c>
      <c r="E1038">
        <v>362</v>
      </c>
      <c r="F1038">
        <v>500</v>
      </c>
      <c r="G1038">
        <v>315</v>
      </c>
      <c r="H1038">
        <v>0</v>
      </c>
      <c r="I1038" t="s">
        <v>22</v>
      </c>
      <c r="J1038" t="s">
        <v>22</v>
      </c>
    </row>
    <row r="1039" spans="1:10" x14ac:dyDescent="0.25">
      <c r="A1039" t="s">
        <v>906</v>
      </c>
      <c r="B1039" t="s">
        <v>473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 t="s">
        <v>22</v>
      </c>
      <c r="J1039" t="s">
        <v>22</v>
      </c>
    </row>
    <row r="1040" spans="1:10" x14ac:dyDescent="0.25">
      <c r="A1040" t="s">
        <v>907</v>
      </c>
      <c r="B1040" t="s">
        <v>549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v>0</v>
      </c>
      <c r="I1040" t="s">
        <v>22</v>
      </c>
      <c r="J1040" t="s">
        <v>22</v>
      </c>
    </row>
    <row r="1041" spans="1:10" x14ac:dyDescent="0.25">
      <c r="A1041" t="s">
        <v>908</v>
      </c>
      <c r="B1041" t="s">
        <v>475</v>
      </c>
      <c r="C1041" s="2">
        <v>7588</v>
      </c>
      <c r="D1041" s="2">
        <v>2009</v>
      </c>
      <c r="E1041">
        <v>715</v>
      </c>
      <c r="F1041" s="2">
        <v>1200</v>
      </c>
      <c r="G1041">
        <v>703</v>
      </c>
      <c r="H1041">
        <v>0</v>
      </c>
      <c r="I1041" t="s">
        <v>22</v>
      </c>
      <c r="J1041" t="s">
        <v>22</v>
      </c>
    </row>
    <row r="1042" spans="1:10" x14ac:dyDescent="0.25">
      <c r="A1042" t="s">
        <v>909</v>
      </c>
      <c r="B1042" t="s">
        <v>477</v>
      </c>
      <c r="C1042">
        <v>0</v>
      </c>
      <c r="D1042">
        <v>0</v>
      </c>
      <c r="E1042">
        <v>0</v>
      </c>
      <c r="F1042" s="2">
        <v>4000</v>
      </c>
      <c r="G1042">
        <v>0</v>
      </c>
      <c r="H1042">
        <v>0</v>
      </c>
      <c r="I1042" t="s">
        <v>22</v>
      </c>
      <c r="J1042" t="s">
        <v>22</v>
      </c>
    </row>
    <row r="1043" spans="1:10" x14ac:dyDescent="0.25">
      <c r="C1043" t="s">
        <v>108</v>
      </c>
      <c r="D1043" t="s">
        <v>108</v>
      </c>
      <c r="E1043" t="s">
        <v>108</v>
      </c>
      <c r="F1043" t="s">
        <v>108</v>
      </c>
      <c r="G1043" t="s">
        <v>108</v>
      </c>
    </row>
    <row r="1044" spans="1:10" x14ac:dyDescent="0.25">
      <c r="H1044" t="s">
        <v>22</v>
      </c>
      <c r="I1044" t="s">
        <v>22</v>
      </c>
      <c r="J1044" t="s">
        <v>22</v>
      </c>
    </row>
    <row r="1045" spans="1:10" x14ac:dyDescent="0.25">
      <c r="A1045" t="s">
        <v>109</v>
      </c>
    </row>
    <row r="1046" spans="1:10" x14ac:dyDescent="0.25">
      <c r="B1046" t="s">
        <v>478</v>
      </c>
      <c r="C1046" s="2">
        <v>50021</v>
      </c>
      <c r="D1046" s="2">
        <v>26023</v>
      </c>
      <c r="E1046" s="2">
        <v>22034</v>
      </c>
      <c r="F1046" s="2">
        <v>42000</v>
      </c>
      <c r="G1046" s="2">
        <v>18752</v>
      </c>
      <c r="H1046">
        <v>0</v>
      </c>
    </row>
    <row r="1048" spans="1:10" x14ac:dyDescent="0.25">
      <c r="A1048" t="s">
        <v>489</v>
      </c>
    </row>
    <row r="1049" spans="1:10" x14ac:dyDescent="0.25">
      <c r="A1049" t="s">
        <v>18</v>
      </c>
    </row>
    <row r="1050" spans="1:10" x14ac:dyDescent="0.25">
      <c r="A1050" t="s">
        <v>910</v>
      </c>
      <c r="B1050" t="s">
        <v>491</v>
      </c>
      <c r="C1050">
        <v>0</v>
      </c>
      <c r="D1050">
        <v>0</v>
      </c>
      <c r="E1050">
        <v>0</v>
      </c>
      <c r="F1050">
        <v>0</v>
      </c>
      <c r="G1050">
        <v>0</v>
      </c>
      <c r="H1050">
        <v>0</v>
      </c>
      <c r="I1050" t="s">
        <v>22</v>
      </c>
      <c r="J1050" t="s">
        <v>22</v>
      </c>
    </row>
    <row r="1051" spans="1:10" x14ac:dyDescent="0.25">
      <c r="A1051" t="s">
        <v>911</v>
      </c>
      <c r="B1051" t="s">
        <v>493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 t="s">
        <v>22</v>
      </c>
      <c r="J1051" t="s">
        <v>22</v>
      </c>
    </row>
    <row r="1052" spans="1:10" x14ac:dyDescent="0.25">
      <c r="A1052" t="s">
        <v>912</v>
      </c>
      <c r="B1052" t="s">
        <v>489</v>
      </c>
      <c r="C1052">
        <v>382</v>
      </c>
      <c r="D1052">
        <v>344</v>
      </c>
      <c r="E1052" s="2">
        <v>1491</v>
      </c>
      <c r="F1052" s="2">
        <v>2575</v>
      </c>
      <c r="G1052">
        <v>265</v>
      </c>
      <c r="H1052">
        <v>0</v>
      </c>
      <c r="I1052" t="s">
        <v>22</v>
      </c>
      <c r="J1052" t="s">
        <v>22</v>
      </c>
    </row>
    <row r="1053" spans="1:10" x14ac:dyDescent="0.25">
      <c r="A1053" t="s">
        <v>913</v>
      </c>
      <c r="B1053" t="s">
        <v>498</v>
      </c>
      <c r="C1053">
        <v>0</v>
      </c>
      <c r="D1053">
        <v>0</v>
      </c>
      <c r="E1053">
        <v>0</v>
      </c>
      <c r="F1053">
        <v>0</v>
      </c>
      <c r="G1053">
        <v>0</v>
      </c>
      <c r="H1053">
        <v>0</v>
      </c>
      <c r="I1053" t="s">
        <v>22</v>
      </c>
      <c r="J1053" t="s">
        <v>22</v>
      </c>
    </row>
    <row r="1054" spans="1:10" x14ac:dyDescent="0.25">
      <c r="A1054" t="s">
        <v>914</v>
      </c>
      <c r="B1054" t="s">
        <v>500</v>
      </c>
      <c r="C1054">
        <v>0</v>
      </c>
      <c r="D1054">
        <v>0</v>
      </c>
      <c r="E1054">
        <v>0</v>
      </c>
      <c r="F1054">
        <v>0</v>
      </c>
      <c r="G1054">
        <v>0</v>
      </c>
      <c r="H1054">
        <v>0</v>
      </c>
      <c r="I1054" t="s">
        <v>22</v>
      </c>
      <c r="J1054" t="s">
        <v>22</v>
      </c>
    </row>
    <row r="1055" spans="1:10" x14ac:dyDescent="0.25">
      <c r="C1055" t="s">
        <v>108</v>
      </c>
      <c r="D1055" t="s">
        <v>108</v>
      </c>
      <c r="E1055" t="s">
        <v>108</v>
      </c>
      <c r="F1055" t="s">
        <v>108</v>
      </c>
      <c r="G1055" t="s">
        <v>108</v>
      </c>
    </row>
    <row r="1056" spans="1:10" x14ac:dyDescent="0.25">
      <c r="H1056" t="s">
        <v>22</v>
      </c>
      <c r="I1056" t="s">
        <v>22</v>
      </c>
      <c r="J1056" t="s">
        <v>22</v>
      </c>
    </row>
    <row r="1057" spans="1:10" x14ac:dyDescent="0.25">
      <c r="A1057" t="s">
        <v>109</v>
      </c>
    </row>
    <row r="1058" spans="1:10" x14ac:dyDescent="0.25">
      <c r="B1058" t="s">
        <v>489</v>
      </c>
      <c r="C1058">
        <v>382</v>
      </c>
      <c r="D1058">
        <v>344</v>
      </c>
      <c r="E1058" s="2">
        <v>1491</v>
      </c>
      <c r="F1058" s="2">
        <v>2575</v>
      </c>
      <c r="G1058">
        <v>265</v>
      </c>
      <c r="H1058">
        <v>0</v>
      </c>
    </row>
    <row r="1060" spans="1:10" x14ac:dyDescent="0.25">
      <c r="A1060" t="s">
        <v>501</v>
      </c>
    </row>
    <row r="1061" spans="1:10" x14ac:dyDescent="0.25">
      <c r="A1061" t="s">
        <v>18</v>
      </c>
    </row>
    <row r="1062" spans="1:10" x14ac:dyDescent="0.25">
      <c r="A1062" t="s">
        <v>915</v>
      </c>
      <c r="B1062" t="s">
        <v>503</v>
      </c>
      <c r="C1062" s="2">
        <v>22097</v>
      </c>
      <c r="D1062" s="2">
        <v>23101</v>
      </c>
      <c r="E1062" s="2">
        <v>12532</v>
      </c>
      <c r="F1062" s="2">
        <v>17000</v>
      </c>
      <c r="G1062">
        <v>0</v>
      </c>
      <c r="H1062">
        <v>0</v>
      </c>
      <c r="I1062" t="s">
        <v>22</v>
      </c>
      <c r="J1062" t="s">
        <v>22</v>
      </c>
    </row>
    <row r="1063" spans="1:10" x14ac:dyDescent="0.25">
      <c r="A1063" t="s">
        <v>916</v>
      </c>
      <c r="B1063" t="s">
        <v>507</v>
      </c>
      <c r="C1063">
        <v>0</v>
      </c>
      <c r="D1063">
        <v>0</v>
      </c>
      <c r="E1063">
        <v>0</v>
      </c>
      <c r="F1063">
        <v>0</v>
      </c>
      <c r="G1063">
        <v>0</v>
      </c>
      <c r="H1063">
        <v>0</v>
      </c>
      <c r="I1063" t="s">
        <v>22</v>
      </c>
      <c r="J1063" t="s">
        <v>22</v>
      </c>
    </row>
    <row r="1064" spans="1:10" x14ac:dyDescent="0.25">
      <c r="A1064" t="s">
        <v>917</v>
      </c>
      <c r="B1064" t="s">
        <v>517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v>0</v>
      </c>
      <c r="I1064" t="s">
        <v>22</v>
      </c>
      <c r="J1064" t="s">
        <v>22</v>
      </c>
    </row>
    <row r="1065" spans="1:10" x14ac:dyDescent="0.25">
      <c r="A1065" t="s">
        <v>918</v>
      </c>
      <c r="B1065" t="s">
        <v>519</v>
      </c>
      <c r="C1065">
        <v>69</v>
      </c>
      <c r="D1065">
        <v>0</v>
      </c>
      <c r="E1065">
        <v>0</v>
      </c>
      <c r="F1065" s="2">
        <v>5500</v>
      </c>
      <c r="G1065">
        <v>400</v>
      </c>
      <c r="H1065">
        <v>0</v>
      </c>
      <c r="I1065" t="s">
        <v>22</v>
      </c>
      <c r="J1065" t="s">
        <v>22</v>
      </c>
    </row>
    <row r="1066" spans="1:10" x14ac:dyDescent="0.25">
      <c r="A1066" t="s">
        <v>919</v>
      </c>
      <c r="B1066" t="s">
        <v>521</v>
      </c>
      <c r="C1066">
        <v>0</v>
      </c>
      <c r="D1066">
        <v>0</v>
      </c>
      <c r="E1066">
        <v>0</v>
      </c>
      <c r="F1066">
        <v>0</v>
      </c>
      <c r="G1066">
        <v>0</v>
      </c>
      <c r="H1066">
        <v>0</v>
      </c>
      <c r="I1066" t="s">
        <v>22</v>
      </c>
      <c r="J1066" t="s">
        <v>22</v>
      </c>
    </row>
    <row r="1067" spans="1:10" x14ac:dyDescent="0.25">
      <c r="C1067" t="s">
        <v>108</v>
      </c>
      <c r="D1067" t="s">
        <v>108</v>
      </c>
      <c r="E1067" t="s">
        <v>108</v>
      </c>
      <c r="F1067" t="s">
        <v>108</v>
      </c>
      <c r="G1067" t="s">
        <v>108</v>
      </c>
    </row>
    <row r="1068" spans="1:10" x14ac:dyDescent="0.25">
      <c r="H1068" t="s">
        <v>22</v>
      </c>
      <c r="I1068" t="s">
        <v>22</v>
      </c>
      <c r="J1068" t="s">
        <v>22</v>
      </c>
    </row>
    <row r="1069" spans="1:10" x14ac:dyDescent="0.25">
      <c r="A1069" t="s">
        <v>109</v>
      </c>
    </row>
    <row r="1070" spans="1:10" x14ac:dyDescent="0.25">
      <c r="B1070" t="s">
        <v>501</v>
      </c>
      <c r="C1070" s="2">
        <v>22166</v>
      </c>
      <c r="D1070" s="2">
        <v>23101</v>
      </c>
      <c r="E1070" s="2">
        <v>12532</v>
      </c>
      <c r="F1070" s="2">
        <v>22500</v>
      </c>
      <c r="G1070">
        <v>400</v>
      </c>
      <c r="H1070">
        <v>0</v>
      </c>
    </row>
    <row r="1072" spans="1:10" x14ac:dyDescent="0.25">
      <c r="A1072" t="s">
        <v>524</v>
      </c>
      <c r="B1072" t="s">
        <v>525</v>
      </c>
    </row>
    <row r="1073" spans="1:10" x14ac:dyDescent="0.25">
      <c r="A1073" t="s">
        <v>18</v>
      </c>
      <c r="B1073" t="s">
        <v>526</v>
      </c>
    </row>
    <row r="1074" spans="1:10" x14ac:dyDescent="0.25">
      <c r="A1074" t="s">
        <v>920</v>
      </c>
      <c r="B1074" t="s">
        <v>534</v>
      </c>
      <c r="C1074">
        <v>0</v>
      </c>
      <c r="D1074">
        <v>0</v>
      </c>
      <c r="E1074">
        <v>0</v>
      </c>
      <c r="F1074">
        <v>0</v>
      </c>
      <c r="G1074">
        <v>0</v>
      </c>
      <c r="H1074">
        <v>0</v>
      </c>
      <c r="I1074" t="s">
        <v>22</v>
      </c>
      <c r="J1074" t="s">
        <v>22</v>
      </c>
    </row>
    <row r="1075" spans="1:10" x14ac:dyDescent="0.25">
      <c r="C1075" t="s">
        <v>108</v>
      </c>
      <c r="D1075" t="s">
        <v>108</v>
      </c>
      <c r="E1075" t="s">
        <v>108</v>
      </c>
      <c r="F1075" t="s">
        <v>108</v>
      </c>
      <c r="G1075" t="s">
        <v>108</v>
      </c>
    </row>
    <row r="1076" spans="1:10" x14ac:dyDescent="0.25">
      <c r="H1076" t="s">
        <v>22</v>
      </c>
      <c r="I1076" t="s">
        <v>22</v>
      </c>
      <c r="J1076" t="s">
        <v>22</v>
      </c>
    </row>
    <row r="1077" spans="1:10" x14ac:dyDescent="0.25">
      <c r="A1077" t="s">
        <v>109</v>
      </c>
    </row>
    <row r="1078" spans="1:10" x14ac:dyDescent="0.25">
      <c r="B1078" t="s">
        <v>530</v>
      </c>
      <c r="C1078">
        <v>0</v>
      </c>
      <c r="D1078">
        <v>0</v>
      </c>
      <c r="E1078">
        <v>0</v>
      </c>
      <c r="F1078">
        <v>0</v>
      </c>
      <c r="G1078">
        <v>0</v>
      </c>
      <c r="H1078">
        <v>0</v>
      </c>
    </row>
    <row r="1079" spans="1:10" x14ac:dyDescent="0.25">
      <c r="A1079" t="s">
        <v>18</v>
      </c>
      <c r="B1079" t="s">
        <v>19</v>
      </c>
      <c r="C1079" t="s">
        <v>20</v>
      </c>
      <c r="D1079" t="s">
        <v>21</v>
      </c>
      <c r="E1079" t="s">
        <v>26</v>
      </c>
    </row>
    <row r="1080" spans="1:10" x14ac:dyDescent="0.25">
      <c r="E1080" t="s">
        <v>339</v>
      </c>
      <c r="F1080" t="s">
        <v>23</v>
      </c>
      <c r="G1080" t="s">
        <v>24</v>
      </c>
      <c r="H1080" t="s">
        <v>20</v>
      </c>
      <c r="I1080" t="s">
        <v>24</v>
      </c>
      <c r="J1080" t="s">
        <v>20</v>
      </c>
    </row>
    <row r="1081" spans="1:10" x14ac:dyDescent="0.25">
      <c r="A1081" t="s">
        <v>109</v>
      </c>
    </row>
    <row r="1082" spans="1:10" x14ac:dyDescent="0.25">
      <c r="A1082">
        <v>17</v>
      </c>
      <c r="B1082" t="e">
        <f>-ECONOMIC DEVELOPMENT</f>
        <v>#NAME?</v>
      </c>
      <c r="C1082" s="2">
        <v>285912</v>
      </c>
      <c r="D1082" s="2">
        <v>256923</v>
      </c>
      <c r="E1082" s="2">
        <v>254571</v>
      </c>
      <c r="F1082" s="2">
        <v>348325</v>
      </c>
      <c r="G1082" s="2">
        <v>181371</v>
      </c>
      <c r="H1082">
        <v>0</v>
      </c>
    </row>
    <row r="1084" spans="1:10" x14ac:dyDescent="0.25">
      <c r="A1084" t="s">
        <v>921</v>
      </c>
    </row>
    <row r="1085" spans="1:10" x14ac:dyDescent="0.25">
      <c r="A1085" t="s">
        <v>389</v>
      </c>
    </row>
    <row r="1087" spans="1:10" x14ac:dyDescent="0.25">
      <c r="A1087" t="s">
        <v>391</v>
      </c>
      <c r="B1087" t="s">
        <v>392</v>
      </c>
    </row>
    <row r="1088" spans="1:10" x14ac:dyDescent="0.25">
      <c r="A1088" t="s">
        <v>18</v>
      </c>
      <c r="B1088" t="s">
        <v>228</v>
      </c>
    </row>
    <row r="1089" spans="1:10" x14ac:dyDescent="0.25">
      <c r="A1089" t="s">
        <v>922</v>
      </c>
      <c r="B1089" t="s">
        <v>923</v>
      </c>
      <c r="C1089" s="2">
        <v>1377</v>
      </c>
      <c r="D1089" s="2">
        <v>-5962</v>
      </c>
      <c r="E1089">
        <v>0</v>
      </c>
      <c r="F1089">
        <v>0</v>
      </c>
      <c r="G1089">
        <v>0</v>
      </c>
      <c r="H1089">
        <v>0</v>
      </c>
      <c r="I1089" t="s">
        <v>22</v>
      </c>
      <c r="J1089" t="s">
        <v>22</v>
      </c>
    </row>
    <row r="1090" spans="1:10" x14ac:dyDescent="0.25">
      <c r="A1090" t="s">
        <v>924</v>
      </c>
      <c r="B1090" t="s">
        <v>925</v>
      </c>
      <c r="C1090">
        <v>9</v>
      </c>
      <c r="D1090">
        <v>0</v>
      </c>
      <c r="E1090">
        <v>0</v>
      </c>
      <c r="F1090">
        <v>0</v>
      </c>
      <c r="G1090">
        <v>0</v>
      </c>
      <c r="H1090">
        <v>0</v>
      </c>
      <c r="I1090" t="s">
        <v>22</v>
      </c>
      <c r="J1090" t="s">
        <v>22</v>
      </c>
    </row>
    <row r="1091" spans="1:10" x14ac:dyDescent="0.25">
      <c r="A1091" t="s">
        <v>926</v>
      </c>
      <c r="B1091" t="s">
        <v>927</v>
      </c>
      <c r="C1091" s="2">
        <v>10422</v>
      </c>
      <c r="D1091" s="2">
        <v>3519</v>
      </c>
      <c r="E1091">
        <v>0</v>
      </c>
      <c r="F1091">
        <v>0</v>
      </c>
      <c r="G1091">
        <v>0</v>
      </c>
      <c r="H1091">
        <v>0</v>
      </c>
      <c r="I1091" t="s">
        <v>22</v>
      </c>
      <c r="J1091" t="s">
        <v>22</v>
      </c>
    </row>
    <row r="1092" spans="1:10" x14ac:dyDescent="0.25">
      <c r="A1092" t="s">
        <v>928</v>
      </c>
      <c r="B1092" t="s">
        <v>400</v>
      </c>
      <c r="C1092" s="2">
        <v>11110</v>
      </c>
      <c r="D1092" s="2">
        <v>3756</v>
      </c>
      <c r="E1092">
        <v>0</v>
      </c>
      <c r="F1092">
        <v>0</v>
      </c>
      <c r="G1092">
        <v>0</v>
      </c>
      <c r="H1092">
        <v>0</v>
      </c>
      <c r="I1092" t="s">
        <v>22</v>
      </c>
      <c r="J1092" t="s">
        <v>22</v>
      </c>
    </row>
    <row r="1093" spans="1:10" x14ac:dyDescent="0.25">
      <c r="A1093" t="s">
        <v>929</v>
      </c>
      <c r="B1093" t="s">
        <v>930</v>
      </c>
      <c r="C1093" s="2">
        <v>11226</v>
      </c>
      <c r="D1093" s="2">
        <v>1535</v>
      </c>
      <c r="E1093">
        <v>0</v>
      </c>
      <c r="F1093">
        <v>0</v>
      </c>
      <c r="G1093">
        <v>0</v>
      </c>
      <c r="H1093">
        <v>0</v>
      </c>
      <c r="I1093" t="s">
        <v>22</v>
      </c>
      <c r="J1093" t="s">
        <v>22</v>
      </c>
    </row>
    <row r="1094" spans="1:10" x14ac:dyDescent="0.25">
      <c r="A1094" t="s">
        <v>931</v>
      </c>
      <c r="B1094" t="s">
        <v>404</v>
      </c>
      <c r="C1094">
        <v>664</v>
      </c>
      <c r="D1094">
        <v>115</v>
      </c>
      <c r="E1094">
        <v>0</v>
      </c>
      <c r="F1094">
        <v>0</v>
      </c>
      <c r="G1094">
        <v>0</v>
      </c>
      <c r="H1094">
        <v>0</v>
      </c>
      <c r="I1094" t="s">
        <v>22</v>
      </c>
      <c r="J1094" t="s">
        <v>22</v>
      </c>
    </row>
    <row r="1095" spans="1:10" x14ac:dyDescent="0.25">
      <c r="A1095" t="s">
        <v>932</v>
      </c>
      <c r="B1095" t="s">
        <v>406</v>
      </c>
      <c r="C1095">
        <v>0</v>
      </c>
      <c r="D1095" s="2">
        <v>3164</v>
      </c>
      <c r="E1095">
        <v>0</v>
      </c>
      <c r="F1095">
        <v>0</v>
      </c>
      <c r="G1095">
        <v>0</v>
      </c>
      <c r="H1095">
        <v>0</v>
      </c>
      <c r="I1095" t="s">
        <v>22</v>
      </c>
      <c r="J1095" t="s">
        <v>22</v>
      </c>
    </row>
    <row r="1096" spans="1:10" x14ac:dyDescent="0.25">
      <c r="A1096" t="s">
        <v>933</v>
      </c>
      <c r="B1096" t="s">
        <v>934</v>
      </c>
      <c r="C1096">
        <v>0</v>
      </c>
      <c r="D1096">
        <v>0</v>
      </c>
      <c r="E1096">
        <v>0</v>
      </c>
      <c r="F1096">
        <v>0</v>
      </c>
      <c r="G1096">
        <v>0</v>
      </c>
      <c r="H1096">
        <v>0</v>
      </c>
      <c r="I1096" t="s">
        <v>22</v>
      </c>
      <c r="J1096" t="s">
        <v>22</v>
      </c>
    </row>
    <row r="1097" spans="1:10" x14ac:dyDescent="0.25">
      <c r="A1097" t="s">
        <v>935</v>
      </c>
      <c r="B1097" t="s">
        <v>936</v>
      </c>
      <c r="C1097" s="2">
        <v>128437</v>
      </c>
      <c r="D1097" s="2">
        <v>44857</v>
      </c>
      <c r="E1097">
        <v>0</v>
      </c>
      <c r="F1097">
        <v>0</v>
      </c>
      <c r="G1097">
        <v>0</v>
      </c>
      <c r="H1097">
        <v>0</v>
      </c>
      <c r="I1097" t="s">
        <v>22</v>
      </c>
      <c r="J1097" t="s">
        <v>22</v>
      </c>
    </row>
    <row r="1098" spans="1:10" x14ac:dyDescent="0.25">
      <c r="A1098" t="s">
        <v>937</v>
      </c>
      <c r="B1098" t="s">
        <v>938</v>
      </c>
      <c r="C1098">
        <v>0</v>
      </c>
      <c r="D1098">
        <v>0</v>
      </c>
      <c r="E1098">
        <v>0</v>
      </c>
      <c r="F1098">
        <v>0</v>
      </c>
      <c r="G1098">
        <v>0</v>
      </c>
      <c r="H1098">
        <v>0</v>
      </c>
      <c r="I1098" t="s">
        <v>22</v>
      </c>
      <c r="J1098" t="s">
        <v>22</v>
      </c>
    </row>
    <row r="1099" spans="1:10" x14ac:dyDescent="0.25">
      <c r="A1099" t="s">
        <v>939</v>
      </c>
      <c r="B1099" t="s">
        <v>418</v>
      </c>
      <c r="C1099">
        <v>0</v>
      </c>
      <c r="D1099">
        <v>0</v>
      </c>
      <c r="E1099">
        <v>0</v>
      </c>
      <c r="F1099">
        <v>0</v>
      </c>
      <c r="G1099">
        <v>0</v>
      </c>
      <c r="H1099">
        <v>0</v>
      </c>
      <c r="I1099" t="s">
        <v>22</v>
      </c>
      <c r="J1099" t="s">
        <v>22</v>
      </c>
    </row>
    <row r="1100" spans="1:10" x14ac:dyDescent="0.25">
      <c r="A1100" t="s">
        <v>940</v>
      </c>
      <c r="B1100" t="s">
        <v>422</v>
      </c>
      <c r="C1100" s="2">
        <v>6600</v>
      </c>
      <c r="D1100" s="2">
        <v>1015</v>
      </c>
      <c r="E1100">
        <v>0</v>
      </c>
      <c r="F1100">
        <v>0</v>
      </c>
      <c r="G1100">
        <v>0</v>
      </c>
      <c r="H1100">
        <v>0</v>
      </c>
      <c r="I1100" t="s">
        <v>22</v>
      </c>
      <c r="J1100" t="s">
        <v>22</v>
      </c>
    </row>
    <row r="1101" spans="1:10" x14ac:dyDescent="0.25">
      <c r="A1101" t="s">
        <v>941</v>
      </c>
      <c r="B1101" t="s">
        <v>424</v>
      </c>
      <c r="C1101">
        <v>69</v>
      </c>
      <c r="D1101">
        <v>0</v>
      </c>
      <c r="E1101">
        <v>0</v>
      </c>
      <c r="F1101">
        <v>0</v>
      </c>
      <c r="G1101">
        <v>0</v>
      </c>
      <c r="H1101">
        <v>0</v>
      </c>
      <c r="I1101" t="s">
        <v>22</v>
      </c>
      <c r="J1101" t="s">
        <v>22</v>
      </c>
    </row>
    <row r="1102" spans="1:10" x14ac:dyDescent="0.25">
      <c r="A1102" t="s">
        <v>110</v>
      </c>
    </row>
    <row r="1103" spans="1:10" x14ac:dyDescent="0.25">
      <c r="A1103" s="1">
        <v>43991</v>
      </c>
      <c r="B1103" t="s">
        <v>111</v>
      </c>
      <c r="D1103" t="s">
        <v>112</v>
      </c>
      <c r="E1103" t="s">
        <v>113</v>
      </c>
      <c r="F1103" t="s">
        <v>114</v>
      </c>
      <c r="J1103" t="s">
        <v>942</v>
      </c>
    </row>
    <row r="1104" spans="1:10" x14ac:dyDescent="0.25">
      <c r="D1104" t="s">
        <v>116</v>
      </c>
      <c r="E1104" t="s">
        <v>117</v>
      </c>
      <c r="F1104" t="s">
        <v>118</v>
      </c>
    </row>
    <row r="1105" spans="1:10" x14ac:dyDescent="0.25">
      <c r="D1105" t="s">
        <v>119</v>
      </c>
      <c r="E1105" t="s">
        <v>120</v>
      </c>
      <c r="F1105" t="s">
        <v>121</v>
      </c>
    </row>
    <row r="1106" spans="1:10" x14ac:dyDescent="0.25">
      <c r="A1106" t="s">
        <v>122</v>
      </c>
      <c r="B1106" t="s">
        <v>123</v>
      </c>
    </row>
    <row r="1107" spans="1:10" x14ac:dyDescent="0.25">
      <c r="A1107" t="s">
        <v>386</v>
      </c>
    </row>
    <row r="1108" spans="1:10" x14ac:dyDescent="0.25">
      <c r="F1108" t="s">
        <v>2</v>
      </c>
      <c r="G1108" t="s">
        <v>3</v>
      </c>
      <c r="H1108" t="s">
        <v>4</v>
      </c>
      <c r="I1108" t="s">
        <v>5</v>
      </c>
      <c r="J1108" t="s">
        <v>6</v>
      </c>
    </row>
    <row r="1109" spans="1:10" x14ac:dyDescent="0.25">
      <c r="C1109" t="s">
        <v>7</v>
      </c>
      <c r="D1109" t="s">
        <v>8</v>
      </c>
      <c r="E1109" t="s">
        <v>9</v>
      </c>
      <c r="F1109" t="s">
        <v>10</v>
      </c>
      <c r="G1109" t="s">
        <v>124</v>
      </c>
      <c r="H1109" t="s">
        <v>12</v>
      </c>
      <c r="I1109" t="s">
        <v>13</v>
      </c>
      <c r="J1109" t="s">
        <v>14</v>
      </c>
    </row>
    <row r="1110" spans="1:10" x14ac:dyDescent="0.25">
      <c r="C1110" t="s">
        <v>15</v>
      </c>
      <c r="D1110" t="s">
        <v>15</v>
      </c>
      <c r="E1110" t="s">
        <v>15</v>
      </c>
      <c r="F1110" t="s">
        <v>16</v>
      </c>
      <c r="G1110" t="s">
        <v>15</v>
      </c>
      <c r="H1110" t="s">
        <v>17</v>
      </c>
      <c r="I1110" t="s">
        <v>16</v>
      </c>
      <c r="J1110" t="s">
        <v>16</v>
      </c>
    </row>
    <row r="1111" spans="1:10" x14ac:dyDescent="0.25">
      <c r="A1111" t="s">
        <v>18</v>
      </c>
      <c r="B1111" t="s">
        <v>19</v>
      </c>
      <c r="C1111" t="s">
        <v>20</v>
      </c>
      <c r="D1111" t="s">
        <v>21</v>
      </c>
      <c r="E1111" t="s">
        <v>22</v>
      </c>
      <c r="F1111" t="s">
        <v>23</v>
      </c>
      <c r="G1111" t="s">
        <v>24</v>
      </c>
      <c r="H1111" t="s">
        <v>20</v>
      </c>
      <c r="I1111" t="s">
        <v>24</v>
      </c>
      <c r="J1111" t="s">
        <v>20</v>
      </c>
    </row>
    <row r="1112" spans="1:10" x14ac:dyDescent="0.25">
      <c r="A1112" t="s">
        <v>943</v>
      </c>
      <c r="B1112" t="s">
        <v>426</v>
      </c>
      <c r="C1112">
        <v>405</v>
      </c>
      <c r="D1112">
        <v>0</v>
      </c>
      <c r="E1112">
        <v>0</v>
      </c>
      <c r="F1112">
        <v>0</v>
      </c>
      <c r="G1112">
        <v>0</v>
      </c>
      <c r="H1112">
        <v>0</v>
      </c>
      <c r="I1112" t="s">
        <v>22</v>
      </c>
      <c r="J1112" t="s">
        <v>22</v>
      </c>
    </row>
    <row r="1113" spans="1:10" x14ac:dyDescent="0.25">
      <c r="A1113" t="s">
        <v>944</v>
      </c>
      <c r="B1113" t="s">
        <v>428</v>
      </c>
      <c r="C1113">
        <v>0</v>
      </c>
      <c r="D1113">
        <v>157</v>
      </c>
      <c r="E1113">
        <v>0</v>
      </c>
      <c r="F1113">
        <v>0</v>
      </c>
      <c r="G1113">
        <v>0</v>
      </c>
      <c r="H1113">
        <v>0</v>
      </c>
      <c r="I1113" t="s">
        <v>22</v>
      </c>
      <c r="J1113" t="s">
        <v>22</v>
      </c>
    </row>
    <row r="1114" spans="1:10" x14ac:dyDescent="0.25">
      <c r="A1114" t="s">
        <v>945</v>
      </c>
      <c r="B1114" t="s">
        <v>430</v>
      </c>
      <c r="C1114">
        <v>35</v>
      </c>
      <c r="D1114">
        <v>0</v>
      </c>
      <c r="E1114">
        <v>0</v>
      </c>
      <c r="F1114">
        <v>0</v>
      </c>
      <c r="G1114">
        <v>0</v>
      </c>
      <c r="H1114">
        <v>0</v>
      </c>
      <c r="I1114" t="s">
        <v>22</v>
      </c>
      <c r="J1114" t="s">
        <v>22</v>
      </c>
    </row>
    <row r="1115" spans="1:10" x14ac:dyDescent="0.25">
      <c r="A1115" t="s">
        <v>946</v>
      </c>
      <c r="B1115" t="s">
        <v>434</v>
      </c>
      <c r="C1115">
        <v>0</v>
      </c>
      <c r="D1115">
        <v>0</v>
      </c>
      <c r="E1115">
        <v>0</v>
      </c>
      <c r="F1115">
        <v>0</v>
      </c>
      <c r="G1115">
        <v>0</v>
      </c>
      <c r="H1115">
        <v>0</v>
      </c>
      <c r="I1115" t="s">
        <v>22</v>
      </c>
      <c r="J1115" t="s">
        <v>22</v>
      </c>
    </row>
    <row r="1116" spans="1:10" x14ac:dyDescent="0.25">
      <c r="A1116" t="s">
        <v>947</v>
      </c>
      <c r="B1116" t="s">
        <v>436</v>
      </c>
      <c r="C1116">
        <v>0</v>
      </c>
      <c r="D1116">
        <v>0</v>
      </c>
      <c r="E1116">
        <v>0</v>
      </c>
      <c r="F1116">
        <v>0</v>
      </c>
      <c r="G1116">
        <v>0</v>
      </c>
      <c r="H1116">
        <v>0</v>
      </c>
      <c r="I1116" t="s">
        <v>22</v>
      </c>
      <c r="J1116" t="s">
        <v>22</v>
      </c>
    </row>
    <row r="1117" spans="1:10" x14ac:dyDescent="0.25">
      <c r="A1117" t="s">
        <v>948</v>
      </c>
      <c r="B1117" t="s">
        <v>607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v>0</v>
      </c>
      <c r="I1117" t="s">
        <v>22</v>
      </c>
      <c r="J1117" t="s">
        <v>22</v>
      </c>
    </row>
    <row r="1118" spans="1:10" x14ac:dyDescent="0.25">
      <c r="C1118" t="s">
        <v>108</v>
      </c>
      <c r="D1118" t="s">
        <v>108</v>
      </c>
      <c r="E1118" t="s">
        <v>108</v>
      </c>
      <c r="F1118" t="s">
        <v>108</v>
      </c>
      <c r="G1118" t="s">
        <v>108</v>
      </c>
    </row>
    <row r="1119" spans="1:10" x14ac:dyDescent="0.25">
      <c r="H1119" t="s">
        <v>22</v>
      </c>
      <c r="I1119" t="s">
        <v>22</v>
      </c>
      <c r="J1119" t="s">
        <v>22</v>
      </c>
    </row>
    <row r="1120" spans="1:10" x14ac:dyDescent="0.25">
      <c r="A1120" t="s">
        <v>109</v>
      </c>
    </row>
    <row r="1121" spans="1:10" x14ac:dyDescent="0.25">
      <c r="B1121" t="s">
        <v>441</v>
      </c>
      <c r="C1121" s="2">
        <v>170353</v>
      </c>
      <c r="D1121" s="2">
        <v>52157</v>
      </c>
      <c r="E1121">
        <v>0</v>
      </c>
      <c r="F1121">
        <v>0</v>
      </c>
      <c r="G1121">
        <v>0</v>
      </c>
      <c r="H1121">
        <v>0</v>
      </c>
    </row>
    <row r="1123" spans="1:10" x14ac:dyDescent="0.25">
      <c r="A1123" t="s">
        <v>442</v>
      </c>
      <c r="B1123" t="s">
        <v>443</v>
      </c>
    </row>
    <row r="1124" spans="1:10" x14ac:dyDescent="0.25">
      <c r="A1124" t="s">
        <v>18</v>
      </c>
      <c r="B1124" t="s">
        <v>21</v>
      </c>
    </row>
    <row r="1125" spans="1:10" x14ac:dyDescent="0.25">
      <c r="A1125" t="s">
        <v>949</v>
      </c>
      <c r="B1125" t="s">
        <v>445</v>
      </c>
      <c r="C1125">
        <v>0</v>
      </c>
      <c r="D1125">
        <v>0</v>
      </c>
      <c r="E1125">
        <v>0</v>
      </c>
      <c r="F1125">
        <v>0</v>
      </c>
      <c r="G1125">
        <v>0</v>
      </c>
      <c r="H1125">
        <v>0</v>
      </c>
      <c r="I1125" t="s">
        <v>22</v>
      </c>
      <c r="J1125" t="s">
        <v>22</v>
      </c>
    </row>
    <row r="1126" spans="1:10" x14ac:dyDescent="0.25">
      <c r="A1126" t="s">
        <v>950</v>
      </c>
      <c r="B1126" t="s">
        <v>447</v>
      </c>
      <c r="C1126">
        <v>0</v>
      </c>
      <c r="D1126">
        <v>0</v>
      </c>
      <c r="E1126">
        <v>0</v>
      </c>
      <c r="F1126">
        <v>0</v>
      </c>
      <c r="G1126">
        <v>0</v>
      </c>
      <c r="H1126">
        <v>0</v>
      </c>
      <c r="I1126" t="s">
        <v>22</v>
      </c>
      <c r="J1126" t="s">
        <v>22</v>
      </c>
    </row>
    <row r="1127" spans="1:10" x14ac:dyDescent="0.25">
      <c r="A1127" t="s">
        <v>951</v>
      </c>
      <c r="B1127" t="s">
        <v>449</v>
      </c>
      <c r="C1127" s="2">
        <v>3481</v>
      </c>
      <c r="D1127">
        <v>649</v>
      </c>
      <c r="E1127">
        <v>0</v>
      </c>
      <c r="F1127">
        <v>0</v>
      </c>
      <c r="G1127">
        <v>0</v>
      </c>
      <c r="H1127">
        <v>0</v>
      </c>
      <c r="I1127" t="s">
        <v>22</v>
      </c>
      <c r="J1127" t="s">
        <v>22</v>
      </c>
    </row>
    <row r="1128" spans="1:10" x14ac:dyDescent="0.25">
      <c r="A1128" t="s">
        <v>952</v>
      </c>
      <c r="B1128" t="s">
        <v>451</v>
      </c>
      <c r="C1128" s="2">
        <v>1089</v>
      </c>
      <c r="D1128">
        <v>0</v>
      </c>
      <c r="E1128">
        <v>0</v>
      </c>
      <c r="F1128">
        <v>0</v>
      </c>
      <c r="G1128">
        <v>0</v>
      </c>
      <c r="H1128">
        <v>0</v>
      </c>
      <c r="I1128" t="s">
        <v>22</v>
      </c>
      <c r="J1128" t="s">
        <v>22</v>
      </c>
    </row>
    <row r="1129" spans="1:10" x14ac:dyDescent="0.25">
      <c r="A1129" t="s">
        <v>953</v>
      </c>
      <c r="B1129" t="s">
        <v>453</v>
      </c>
      <c r="C1129">
        <v>345</v>
      </c>
      <c r="D1129">
        <v>0</v>
      </c>
      <c r="E1129">
        <v>0</v>
      </c>
      <c r="F1129">
        <v>0</v>
      </c>
      <c r="G1129">
        <v>0</v>
      </c>
      <c r="H1129">
        <v>0</v>
      </c>
      <c r="I1129" t="s">
        <v>22</v>
      </c>
      <c r="J1129" t="s">
        <v>22</v>
      </c>
    </row>
    <row r="1130" spans="1:10" x14ac:dyDescent="0.25">
      <c r="A1130" t="s">
        <v>954</v>
      </c>
      <c r="B1130" t="s">
        <v>457</v>
      </c>
      <c r="C1130">
        <v>315</v>
      </c>
      <c r="D1130">
        <v>70</v>
      </c>
      <c r="E1130">
        <v>0</v>
      </c>
      <c r="F1130">
        <v>0</v>
      </c>
      <c r="G1130">
        <v>0</v>
      </c>
      <c r="H1130">
        <v>0</v>
      </c>
      <c r="I1130" t="s">
        <v>22</v>
      </c>
      <c r="J1130" t="s">
        <v>22</v>
      </c>
    </row>
    <row r="1131" spans="1:10" x14ac:dyDescent="0.25">
      <c r="A1131" t="s">
        <v>955</v>
      </c>
      <c r="B1131" t="s">
        <v>459</v>
      </c>
      <c r="C1131">
        <v>0</v>
      </c>
      <c r="D1131">
        <v>0</v>
      </c>
      <c r="E1131">
        <v>0</v>
      </c>
      <c r="F1131">
        <v>0</v>
      </c>
      <c r="G1131">
        <v>0</v>
      </c>
      <c r="H1131">
        <v>0</v>
      </c>
      <c r="I1131" t="s">
        <v>22</v>
      </c>
      <c r="J1131" t="s">
        <v>22</v>
      </c>
    </row>
    <row r="1132" spans="1:10" x14ac:dyDescent="0.25">
      <c r="A1132" t="s">
        <v>956</v>
      </c>
      <c r="B1132" t="s">
        <v>461</v>
      </c>
      <c r="C1132">
        <v>197</v>
      </c>
      <c r="D1132">
        <v>0</v>
      </c>
      <c r="E1132">
        <v>0</v>
      </c>
      <c r="F1132">
        <v>0</v>
      </c>
      <c r="G1132">
        <v>0</v>
      </c>
      <c r="H1132">
        <v>0</v>
      </c>
      <c r="I1132" t="s">
        <v>22</v>
      </c>
      <c r="J1132" t="s">
        <v>22</v>
      </c>
    </row>
    <row r="1133" spans="1:10" x14ac:dyDescent="0.25">
      <c r="A1133" t="s">
        <v>957</v>
      </c>
      <c r="B1133" t="s">
        <v>465</v>
      </c>
      <c r="C1133">
        <v>0</v>
      </c>
      <c r="D1133">
        <v>0</v>
      </c>
      <c r="E1133">
        <v>0</v>
      </c>
      <c r="F1133">
        <v>0</v>
      </c>
      <c r="G1133">
        <v>0</v>
      </c>
      <c r="H1133">
        <v>0</v>
      </c>
      <c r="I1133" t="s">
        <v>22</v>
      </c>
      <c r="J1133" t="s">
        <v>22</v>
      </c>
    </row>
    <row r="1134" spans="1:10" x14ac:dyDescent="0.25">
      <c r="A1134" t="s">
        <v>958</v>
      </c>
      <c r="B1134" t="s">
        <v>959</v>
      </c>
      <c r="C1134">
        <v>0</v>
      </c>
      <c r="D1134">
        <v>0</v>
      </c>
      <c r="E1134">
        <v>0</v>
      </c>
      <c r="F1134">
        <v>0</v>
      </c>
      <c r="G1134">
        <v>0</v>
      </c>
      <c r="H1134">
        <v>0</v>
      </c>
      <c r="I1134" t="s">
        <v>22</v>
      </c>
      <c r="J1134" t="s">
        <v>22</v>
      </c>
    </row>
    <row r="1135" spans="1:10" x14ac:dyDescent="0.25">
      <c r="A1135" t="s">
        <v>960</v>
      </c>
      <c r="B1135" t="s">
        <v>961</v>
      </c>
      <c r="C1135">
        <v>0</v>
      </c>
      <c r="D1135">
        <v>0</v>
      </c>
      <c r="E1135">
        <v>0</v>
      </c>
      <c r="F1135">
        <v>0</v>
      </c>
      <c r="G1135">
        <v>0</v>
      </c>
      <c r="H1135">
        <v>0</v>
      </c>
      <c r="I1135" t="s">
        <v>22</v>
      </c>
      <c r="J1135" t="s">
        <v>22</v>
      </c>
    </row>
    <row r="1136" spans="1:10" x14ac:dyDescent="0.25">
      <c r="A1136" t="s">
        <v>962</v>
      </c>
      <c r="B1136" t="s">
        <v>473</v>
      </c>
      <c r="C1136">
        <v>0</v>
      </c>
      <c r="D1136">
        <v>0</v>
      </c>
      <c r="E1136">
        <v>0</v>
      </c>
      <c r="F1136">
        <v>0</v>
      </c>
      <c r="G1136">
        <v>0</v>
      </c>
      <c r="H1136">
        <v>0</v>
      </c>
      <c r="I1136" t="s">
        <v>22</v>
      </c>
      <c r="J1136" t="s">
        <v>22</v>
      </c>
    </row>
    <row r="1137" spans="1:10" x14ac:dyDescent="0.25">
      <c r="A1137" t="s">
        <v>963</v>
      </c>
      <c r="B1137" t="s">
        <v>475</v>
      </c>
      <c r="C1137">
        <v>108</v>
      </c>
      <c r="D1137">
        <v>210</v>
      </c>
      <c r="E1137">
        <v>40</v>
      </c>
      <c r="F1137">
        <v>0</v>
      </c>
      <c r="G1137">
        <v>0</v>
      </c>
      <c r="H1137">
        <v>0</v>
      </c>
      <c r="I1137" t="s">
        <v>22</v>
      </c>
      <c r="J1137" t="s">
        <v>22</v>
      </c>
    </row>
    <row r="1138" spans="1:10" x14ac:dyDescent="0.25">
      <c r="A1138" t="s">
        <v>964</v>
      </c>
      <c r="B1138" t="s">
        <v>762</v>
      </c>
      <c r="C1138">
        <v>14</v>
      </c>
      <c r="D1138">
        <v>0</v>
      </c>
      <c r="E1138">
        <v>0</v>
      </c>
      <c r="F1138">
        <v>0</v>
      </c>
      <c r="G1138">
        <v>0</v>
      </c>
      <c r="H1138">
        <v>0</v>
      </c>
      <c r="I1138" t="s">
        <v>22</v>
      </c>
      <c r="J1138" t="s">
        <v>22</v>
      </c>
    </row>
    <row r="1139" spans="1:10" x14ac:dyDescent="0.25">
      <c r="C1139" t="s">
        <v>108</v>
      </c>
      <c r="D1139" t="s">
        <v>108</v>
      </c>
      <c r="E1139" t="s">
        <v>108</v>
      </c>
      <c r="F1139" t="s">
        <v>108</v>
      </c>
      <c r="G1139" t="s">
        <v>108</v>
      </c>
    </row>
    <row r="1140" spans="1:10" x14ac:dyDescent="0.25">
      <c r="H1140" t="s">
        <v>22</v>
      </c>
      <c r="I1140" t="s">
        <v>22</v>
      </c>
      <c r="J1140" t="s">
        <v>22</v>
      </c>
    </row>
    <row r="1141" spans="1:10" x14ac:dyDescent="0.25">
      <c r="A1141" t="s">
        <v>109</v>
      </c>
    </row>
    <row r="1142" spans="1:10" x14ac:dyDescent="0.25">
      <c r="B1142" t="s">
        <v>478</v>
      </c>
      <c r="C1142" s="2">
        <v>5549</v>
      </c>
      <c r="D1142">
        <v>929</v>
      </c>
      <c r="E1142">
        <v>40</v>
      </c>
      <c r="F1142">
        <v>0</v>
      </c>
      <c r="G1142">
        <v>0</v>
      </c>
      <c r="H1142">
        <v>0</v>
      </c>
    </row>
    <row r="1144" spans="1:10" x14ac:dyDescent="0.25">
      <c r="A1144" t="s">
        <v>489</v>
      </c>
    </row>
    <row r="1145" spans="1:10" x14ac:dyDescent="0.25">
      <c r="A1145" t="s">
        <v>18</v>
      </c>
    </row>
    <row r="1146" spans="1:10" x14ac:dyDescent="0.25">
      <c r="A1146" t="s">
        <v>965</v>
      </c>
      <c r="B1146" t="s">
        <v>491</v>
      </c>
      <c r="C1146" s="2">
        <v>6833</v>
      </c>
      <c r="D1146">
        <v>0</v>
      </c>
      <c r="E1146">
        <v>0</v>
      </c>
      <c r="F1146">
        <v>0</v>
      </c>
      <c r="G1146">
        <v>0</v>
      </c>
      <c r="H1146">
        <v>0</v>
      </c>
      <c r="I1146" t="s">
        <v>22</v>
      </c>
      <c r="J1146" t="s">
        <v>22</v>
      </c>
    </row>
    <row r="1147" spans="1:10" x14ac:dyDescent="0.25">
      <c r="A1147" t="s">
        <v>966</v>
      </c>
      <c r="B1147" t="s">
        <v>493</v>
      </c>
      <c r="C1147">
        <v>0</v>
      </c>
      <c r="D1147">
        <v>0</v>
      </c>
      <c r="E1147">
        <v>0</v>
      </c>
      <c r="F1147">
        <v>0</v>
      </c>
      <c r="G1147">
        <v>0</v>
      </c>
      <c r="H1147">
        <v>0</v>
      </c>
      <c r="I1147" t="s">
        <v>22</v>
      </c>
      <c r="J1147" t="s">
        <v>22</v>
      </c>
    </row>
    <row r="1148" spans="1:10" x14ac:dyDescent="0.25">
      <c r="A1148" t="s">
        <v>967</v>
      </c>
      <c r="B1148" t="s">
        <v>489</v>
      </c>
      <c r="C1148" s="2">
        <v>3401</v>
      </c>
      <c r="D1148">
        <v>0</v>
      </c>
      <c r="E1148">
        <v>0</v>
      </c>
      <c r="F1148">
        <v>0</v>
      </c>
      <c r="G1148">
        <v>0</v>
      </c>
      <c r="H1148">
        <v>0</v>
      </c>
      <c r="I1148" t="s">
        <v>22</v>
      </c>
      <c r="J1148" t="s">
        <v>22</v>
      </c>
    </row>
    <row r="1149" spans="1:10" x14ac:dyDescent="0.25">
      <c r="A1149" t="s">
        <v>968</v>
      </c>
      <c r="B1149" t="s">
        <v>498</v>
      </c>
      <c r="C1149">
        <v>0</v>
      </c>
      <c r="D1149">
        <v>0</v>
      </c>
      <c r="E1149">
        <v>0</v>
      </c>
      <c r="F1149">
        <v>0</v>
      </c>
      <c r="G1149">
        <v>0</v>
      </c>
      <c r="H1149">
        <v>0</v>
      </c>
      <c r="I1149" t="s">
        <v>22</v>
      </c>
      <c r="J1149" t="s">
        <v>22</v>
      </c>
    </row>
    <row r="1150" spans="1:10" x14ac:dyDescent="0.25">
      <c r="A1150" t="s">
        <v>969</v>
      </c>
      <c r="B1150" t="s">
        <v>500</v>
      </c>
      <c r="C1150">
        <v>0</v>
      </c>
      <c r="D1150">
        <v>0</v>
      </c>
      <c r="E1150">
        <v>0</v>
      </c>
      <c r="F1150">
        <v>0</v>
      </c>
      <c r="G1150">
        <v>0</v>
      </c>
      <c r="H1150">
        <v>0</v>
      </c>
      <c r="I1150" t="s">
        <v>22</v>
      </c>
      <c r="J1150" t="s">
        <v>22</v>
      </c>
    </row>
    <row r="1151" spans="1:10" x14ac:dyDescent="0.25">
      <c r="C1151" t="s">
        <v>108</v>
      </c>
      <c r="D1151" t="s">
        <v>108</v>
      </c>
      <c r="E1151" t="s">
        <v>108</v>
      </c>
      <c r="F1151" t="s">
        <v>108</v>
      </c>
      <c r="G1151" t="s">
        <v>108</v>
      </c>
    </row>
    <row r="1152" spans="1:10" x14ac:dyDescent="0.25">
      <c r="H1152" t="s">
        <v>22</v>
      </c>
      <c r="I1152" t="s">
        <v>22</v>
      </c>
      <c r="J1152" t="s">
        <v>22</v>
      </c>
    </row>
    <row r="1153" spans="1:10" x14ac:dyDescent="0.25">
      <c r="A1153" t="s">
        <v>109</v>
      </c>
    </row>
    <row r="1154" spans="1:10" x14ac:dyDescent="0.25">
      <c r="B1154" t="s">
        <v>489</v>
      </c>
      <c r="C1154" s="2">
        <v>10234</v>
      </c>
      <c r="D1154">
        <v>0</v>
      </c>
      <c r="E1154">
        <v>0</v>
      </c>
      <c r="F1154">
        <v>0</v>
      </c>
      <c r="G1154">
        <v>0</v>
      </c>
      <c r="H1154">
        <v>0</v>
      </c>
    </row>
    <row r="1156" spans="1:10" x14ac:dyDescent="0.25">
      <c r="A1156" t="s">
        <v>501</v>
      </c>
    </row>
    <row r="1157" spans="1:10" x14ac:dyDescent="0.25">
      <c r="A1157" t="s">
        <v>18</v>
      </c>
    </row>
    <row r="1158" spans="1:10" x14ac:dyDescent="0.25">
      <c r="A1158" t="s">
        <v>970</v>
      </c>
      <c r="B1158" t="s">
        <v>503</v>
      </c>
      <c r="C1158">
        <v>1</v>
      </c>
      <c r="D1158">
        <v>0</v>
      </c>
      <c r="E1158">
        <v>0</v>
      </c>
      <c r="F1158">
        <v>0</v>
      </c>
      <c r="G1158">
        <v>0</v>
      </c>
      <c r="H1158">
        <v>0</v>
      </c>
      <c r="I1158" t="s">
        <v>22</v>
      </c>
      <c r="J1158" t="s">
        <v>22</v>
      </c>
    </row>
    <row r="1159" spans="1:10" x14ac:dyDescent="0.25">
      <c r="A1159" t="s">
        <v>971</v>
      </c>
      <c r="B1159" t="s">
        <v>507</v>
      </c>
      <c r="C1159" s="2">
        <v>27383</v>
      </c>
      <c r="D1159" s="2">
        <v>369532</v>
      </c>
      <c r="E1159" s="2">
        <v>468390</v>
      </c>
      <c r="F1159" s="2">
        <v>405000</v>
      </c>
      <c r="G1159" s="2">
        <v>261944</v>
      </c>
      <c r="H1159">
        <v>0</v>
      </c>
      <c r="I1159" t="s">
        <v>22</v>
      </c>
      <c r="J1159" t="s">
        <v>22</v>
      </c>
    </row>
    <row r="1160" spans="1:10" x14ac:dyDescent="0.25">
      <c r="A1160" t="s">
        <v>972</v>
      </c>
      <c r="B1160" t="s">
        <v>973</v>
      </c>
      <c r="C1160">
        <v>0</v>
      </c>
      <c r="D1160">
        <v>0</v>
      </c>
      <c r="E1160">
        <v>0</v>
      </c>
      <c r="F1160">
        <v>0</v>
      </c>
      <c r="G1160">
        <v>0</v>
      </c>
      <c r="H1160">
        <v>0</v>
      </c>
      <c r="I1160" t="s">
        <v>22</v>
      </c>
      <c r="J1160" t="s">
        <v>22</v>
      </c>
    </row>
    <row r="1161" spans="1:10" x14ac:dyDescent="0.25">
      <c r="A1161" t="s">
        <v>974</v>
      </c>
      <c r="B1161" t="s">
        <v>517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0</v>
      </c>
      <c r="I1161" t="s">
        <v>22</v>
      </c>
      <c r="J1161" t="s">
        <v>22</v>
      </c>
    </row>
    <row r="1162" spans="1:10" x14ac:dyDescent="0.25">
      <c r="A1162" t="s">
        <v>975</v>
      </c>
      <c r="B1162" t="s">
        <v>519</v>
      </c>
      <c r="C1162">
        <v>0</v>
      </c>
      <c r="D1162">
        <v>0</v>
      </c>
      <c r="E1162">
        <v>0</v>
      </c>
      <c r="F1162">
        <v>0</v>
      </c>
      <c r="G1162">
        <v>0</v>
      </c>
      <c r="H1162">
        <v>0</v>
      </c>
      <c r="I1162" t="s">
        <v>22</v>
      </c>
      <c r="J1162" t="s">
        <v>22</v>
      </c>
    </row>
    <row r="1163" spans="1:10" x14ac:dyDescent="0.25">
      <c r="A1163" t="s">
        <v>976</v>
      </c>
      <c r="B1163" t="s">
        <v>521</v>
      </c>
      <c r="C1163" s="2">
        <v>5980</v>
      </c>
      <c r="D1163" s="2">
        <v>4651</v>
      </c>
      <c r="E1163">
        <v>0</v>
      </c>
      <c r="F1163">
        <v>0</v>
      </c>
      <c r="G1163">
        <v>0</v>
      </c>
      <c r="H1163">
        <v>0</v>
      </c>
      <c r="I1163" t="s">
        <v>22</v>
      </c>
      <c r="J1163" t="s">
        <v>22</v>
      </c>
    </row>
    <row r="1164" spans="1:10" x14ac:dyDescent="0.25">
      <c r="A1164" t="s">
        <v>977</v>
      </c>
      <c r="B1164" t="s">
        <v>978</v>
      </c>
      <c r="C1164">
        <v>0</v>
      </c>
      <c r="D1164">
        <v>0</v>
      </c>
      <c r="E1164" s="2">
        <v>6000</v>
      </c>
      <c r="F1164">
        <v>0</v>
      </c>
      <c r="G1164">
        <v>0</v>
      </c>
      <c r="H1164">
        <v>0</v>
      </c>
      <c r="I1164" t="s">
        <v>22</v>
      </c>
      <c r="J1164" t="s">
        <v>22</v>
      </c>
    </row>
    <row r="1165" spans="1:10" x14ac:dyDescent="0.25">
      <c r="C1165" t="s">
        <v>108</v>
      </c>
      <c r="D1165" t="s">
        <v>108</v>
      </c>
      <c r="E1165" t="s">
        <v>108</v>
      </c>
      <c r="F1165" t="s">
        <v>108</v>
      </c>
      <c r="G1165" t="s">
        <v>108</v>
      </c>
    </row>
    <row r="1166" spans="1:10" x14ac:dyDescent="0.25">
      <c r="H1166" t="s">
        <v>22</v>
      </c>
      <c r="I1166" t="s">
        <v>22</v>
      </c>
      <c r="J1166" t="s">
        <v>22</v>
      </c>
    </row>
    <row r="1167" spans="1:10" x14ac:dyDescent="0.25">
      <c r="A1167" t="s">
        <v>109</v>
      </c>
    </row>
    <row r="1168" spans="1:10" x14ac:dyDescent="0.25">
      <c r="B1168" t="s">
        <v>501</v>
      </c>
      <c r="C1168" s="2">
        <v>33365</v>
      </c>
      <c r="D1168" s="2">
        <v>374183</v>
      </c>
      <c r="E1168" s="2">
        <v>474390</v>
      </c>
      <c r="F1168" s="2">
        <v>405000</v>
      </c>
      <c r="G1168" s="2">
        <v>261944</v>
      </c>
      <c r="H1168">
        <v>0</v>
      </c>
    </row>
    <row r="1170" spans="1:10" x14ac:dyDescent="0.25">
      <c r="A1170" t="s">
        <v>524</v>
      </c>
      <c r="B1170" t="s">
        <v>525</v>
      </c>
    </row>
    <row r="1171" spans="1:10" x14ac:dyDescent="0.25">
      <c r="A1171" t="s">
        <v>18</v>
      </c>
      <c r="B1171" t="s">
        <v>526</v>
      </c>
    </row>
    <row r="1172" spans="1:10" x14ac:dyDescent="0.25">
      <c r="A1172" t="s">
        <v>979</v>
      </c>
      <c r="B1172" t="s">
        <v>530</v>
      </c>
      <c r="C1172">
        <v>0</v>
      </c>
      <c r="D1172">
        <v>0</v>
      </c>
      <c r="E1172">
        <v>0</v>
      </c>
      <c r="F1172">
        <v>0</v>
      </c>
      <c r="G1172">
        <v>0</v>
      </c>
      <c r="H1172">
        <v>0</v>
      </c>
      <c r="I1172" t="s">
        <v>22</v>
      </c>
      <c r="J1172" t="s">
        <v>22</v>
      </c>
    </row>
    <row r="1173" spans="1:10" x14ac:dyDescent="0.25">
      <c r="A1173" t="s">
        <v>980</v>
      </c>
      <c r="B1173" t="s">
        <v>534</v>
      </c>
      <c r="C1173">
        <v>0</v>
      </c>
      <c r="D1173">
        <v>0</v>
      </c>
      <c r="E1173">
        <v>0</v>
      </c>
      <c r="F1173">
        <v>0</v>
      </c>
      <c r="G1173">
        <v>0</v>
      </c>
      <c r="H1173">
        <v>0</v>
      </c>
      <c r="I1173" t="s">
        <v>22</v>
      </c>
      <c r="J1173" t="s">
        <v>22</v>
      </c>
    </row>
    <row r="1174" spans="1:10" x14ac:dyDescent="0.25">
      <c r="C1174" t="s">
        <v>108</v>
      </c>
      <c r="D1174" t="s">
        <v>108</v>
      </c>
      <c r="E1174" t="s">
        <v>108</v>
      </c>
      <c r="F1174" t="s">
        <v>108</v>
      </c>
      <c r="G1174" t="s">
        <v>108</v>
      </c>
    </row>
    <row r="1175" spans="1:10" x14ac:dyDescent="0.25">
      <c r="H1175" t="s">
        <v>22</v>
      </c>
      <c r="I1175" t="s">
        <v>22</v>
      </c>
      <c r="J1175" t="s">
        <v>22</v>
      </c>
    </row>
    <row r="1176" spans="1:10" x14ac:dyDescent="0.25">
      <c r="A1176" t="s">
        <v>109</v>
      </c>
    </row>
    <row r="1177" spans="1:10" x14ac:dyDescent="0.25">
      <c r="B1177" t="s">
        <v>530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0</v>
      </c>
    </row>
    <row r="1178" spans="1:10" x14ac:dyDescent="0.25">
      <c r="A1178" t="s">
        <v>18</v>
      </c>
      <c r="B1178" t="s">
        <v>19</v>
      </c>
      <c r="C1178" t="s">
        <v>20</v>
      </c>
      <c r="D1178" t="s">
        <v>21</v>
      </c>
      <c r="E1178" t="s">
        <v>26</v>
      </c>
    </row>
    <row r="1179" spans="1:10" x14ac:dyDescent="0.25">
      <c r="E1179" t="s">
        <v>339</v>
      </c>
      <c r="F1179" t="s">
        <v>23</v>
      </c>
      <c r="G1179" t="s">
        <v>24</v>
      </c>
      <c r="H1179" t="s">
        <v>20</v>
      </c>
      <c r="I1179" t="s">
        <v>24</v>
      </c>
      <c r="J1179" t="s">
        <v>20</v>
      </c>
    </row>
    <row r="1180" spans="1:10" x14ac:dyDescent="0.25">
      <c r="A1180" t="s">
        <v>109</v>
      </c>
    </row>
    <row r="1181" spans="1:10" x14ac:dyDescent="0.25">
      <c r="A1181">
        <v>18</v>
      </c>
      <c r="B1181" t="e">
        <f>-LEGAL</f>
        <v>#NAME?</v>
      </c>
      <c r="C1181" s="2">
        <v>219500</v>
      </c>
      <c r="D1181" s="2">
        <v>427270</v>
      </c>
      <c r="E1181" s="2">
        <v>474430</v>
      </c>
      <c r="F1181" s="2">
        <v>405000</v>
      </c>
      <c r="G1181" s="2">
        <v>261944</v>
      </c>
      <c r="H1181">
        <v>0</v>
      </c>
    </row>
    <row r="1182" spans="1:10" x14ac:dyDescent="0.25">
      <c r="A1182" t="s">
        <v>110</v>
      </c>
    </row>
    <row r="1183" spans="1:10" x14ac:dyDescent="0.25">
      <c r="A1183" s="1">
        <v>43991</v>
      </c>
      <c r="B1183" t="s">
        <v>111</v>
      </c>
      <c r="D1183" t="s">
        <v>112</v>
      </c>
      <c r="E1183" t="s">
        <v>113</v>
      </c>
      <c r="F1183" t="s">
        <v>114</v>
      </c>
      <c r="J1183" t="s">
        <v>981</v>
      </c>
    </row>
    <row r="1184" spans="1:10" x14ac:dyDescent="0.25">
      <c r="D1184" t="s">
        <v>116</v>
      </c>
      <c r="E1184" t="s">
        <v>117</v>
      </c>
      <c r="F1184" t="s">
        <v>118</v>
      </c>
    </row>
    <row r="1185" spans="1:10" x14ac:dyDescent="0.25">
      <c r="D1185" t="s">
        <v>119</v>
      </c>
      <c r="E1185" t="s">
        <v>120</v>
      </c>
      <c r="F1185" t="s">
        <v>121</v>
      </c>
    </row>
    <row r="1186" spans="1:10" x14ac:dyDescent="0.25">
      <c r="A1186" t="s">
        <v>122</v>
      </c>
      <c r="B1186" t="s">
        <v>123</v>
      </c>
    </row>
    <row r="1187" spans="1:10" x14ac:dyDescent="0.25">
      <c r="A1187" t="s">
        <v>386</v>
      </c>
    </row>
    <row r="1188" spans="1:10" x14ac:dyDescent="0.25">
      <c r="F1188" t="s">
        <v>2</v>
      </c>
      <c r="G1188" t="s">
        <v>3</v>
      </c>
      <c r="H1188" t="s">
        <v>4</v>
      </c>
      <c r="I1188" t="s">
        <v>5</v>
      </c>
      <c r="J1188" t="s">
        <v>6</v>
      </c>
    </row>
    <row r="1189" spans="1:10" x14ac:dyDescent="0.25">
      <c r="C1189" t="s">
        <v>7</v>
      </c>
      <c r="D1189" t="s">
        <v>8</v>
      </c>
      <c r="E1189" t="s">
        <v>9</v>
      </c>
      <c r="F1189" t="s">
        <v>10</v>
      </c>
      <c r="G1189" t="s">
        <v>124</v>
      </c>
      <c r="H1189" t="s">
        <v>12</v>
      </c>
      <c r="I1189" t="s">
        <v>13</v>
      </c>
      <c r="J1189" t="s">
        <v>14</v>
      </c>
    </row>
    <row r="1190" spans="1:10" x14ac:dyDescent="0.25">
      <c r="C1190" t="s">
        <v>15</v>
      </c>
      <c r="D1190" t="s">
        <v>15</v>
      </c>
      <c r="E1190" t="s">
        <v>15</v>
      </c>
      <c r="F1190" t="s">
        <v>16</v>
      </c>
      <c r="G1190" t="s">
        <v>15</v>
      </c>
      <c r="H1190" t="s">
        <v>17</v>
      </c>
      <c r="I1190" t="s">
        <v>16</v>
      </c>
      <c r="J1190" t="s">
        <v>16</v>
      </c>
    </row>
    <row r="1191" spans="1:10" x14ac:dyDescent="0.25">
      <c r="A1191" t="s">
        <v>18</v>
      </c>
      <c r="B1191" t="s">
        <v>19</v>
      </c>
      <c r="C1191" t="s">
        <v>20</v>
      </c>
      <c r="D1191" t="s">
        <v>21</v>
      </c>
      <c r="E1191" t="s">
        <v>22</v>
      </c>
      <c r="F1191" t="s">
        <v>23</v>
      </c>
      <c r="G1191" t="s">
        <v>24</v>
      </c>
      <c r="H1191" t="s">
        <v>20</v>
      </c>
      <c r="I1191" t="s">
        <v>24</v>
      </c>
      <c r="J1191" t="s">
        <v>20</v>
      </c>
    </row>
    <row r="1193" spans="1:10" x14ac:dyDescent="0.25">
      <c r="A1193" t="s">
        <v>263</v>
      </c>
      <c r="B1193" t="s">
        <v>264</v>
      </c>
    </row>
    <row r="1194" spans="1:10" x14ac:dyDescent="0.25">
      <c r="A1194" t="s">
        <v>389</v>
      </c>
      <c r="B1194" t="s">
        <v>982</v>
      </c>
    </row>
    <row r="1196" spans="1:10" x14ac:dyDescent="0.25">
      <c r="A1196" t="s">
        <v>391</v>
      </c>
      <c r="B1196" t="s">
        <v>392</v>
      </c>
    </row>
    <row r="1197" spans="1:10" x14ac:dyDescent="0.25">
      <c r="A1197" t="s">
        <v>18</v>
      </c>
      <c r="B1197" t="s">
        <v>228</v>
      </c>
    </row>
    <row r="1198" spans="1:10" x14ac:dyDescent="0.25">
      <c r="A1198" t="s">
        <v>983</v>
      </c>
      <c r="B1198" t="s">
        <v>569</v>
      </c>
      <c r="C1198" s="2">
        <v>4616</v>
      </c>
      <c r="D1198" s="2">
        <v>29256</v>
      </c>
      <c r="E1198">
        <v>0</v>
      </c>
      <c r="F1198">
        <v>0</v>
      </c>
      <c r="G1198">
        <v>0</v>
      </c>
      <c r="H1198">
        <v>0</v>
      </c>
      <c r="I1198" t="s">
        <v>22</v>
      </c>
      <c r="J1198" t="s">
        <v>22</v>
      </c>
    </row>
    <row r="1199" spans="1:10" x14ac:dyDescent="0.25">
      <c r="A1199" t="s">
        <v>984</v>
      </c>
      <c r="B1199" t="s">
        <v>396</v>
      </c>
      <c r="C1199">
        <v>263</v>
      </c>
      <c r="D1199">
        <v>234</v>
      </c>
      <c r="E1199" s="2">
        <v>3097</v>
      </c>
      <c r="F1199" s="2">
        <v>6048</v>
      </c>
      <c r="G1199">
        <v>619</v>
      </c>
      <c r="H1199">
        <v>362</v>
      </c>
      <c r="I1199" t="s">
        <v>22</v>
      </c>
      <c r="J1199" t="s">
        <v>22</v>
      </c>
    </row>
    <row r="1200" spans="1:10" x14ac:dyDescent="0.25">
      <c r="A1200" t="s">
        <v>985</v>
      </c>
      <c r="B1200" t="s">
        <v>398</v>
      </c>
      <c r="C1200" s="2">
        <v>98437</v>
      </c>
      <c r="D1200" s="2">
        <v>120829</v>
      </c>
      <c r="E1200" s="2">
        <v>139265</v>
      </c>
      <c r="F1200" s="2">
        <v>148824</v>
      </c>
      <c r="G1200" s="2">
        <v>100882</v>
      </c>
      <c r="H1200" s="2">
        <v>20330</v>
      </c>
      <c r="I1200" t="s">
        <v>22</v>
      </c>
      <c r="J1200" t="s">
        <v>22</v>
      </c>
    </row>
    <row r="1201" spans="1:10" x14ac:dyDescent="0.25">
      <c r="A1201" t="s">
        <v>986</v>
      </c>
      <c r="B1201" t="s">
        <v>400</v>
      </c>
      <c r="C1201" s="2">
        <v>106934</v>
      </c>
      <c r="D1201" s="2">
        <v>132899</v>
      </c>
      <c r="E1201" s="2">
        <v>164332</v>
      </c>
      <c r="F1201" s="2">
        <v>179733</v>
      </c>
      <c r="G1201" s="2">
        <v>112063</v>
      </c>
      <c r="H1201" s="2">
        <v>11055</v>
      </c>
      <c r="I1201" t="s">
        <v>22</v>
      </c>
      <c r="J1201" t="s">
        <v>22</v>
      </c>
    </row>
    <row r="1202" spans="1:10" x14ac:dyDescent="0.25">
      <c r="A1202" t="s">
        <v>987</v>
      </c>
      <c r="B1202" t="s">
        <v>574</v>
      </c>
      <c r="C1202" s="2">
        <v>204232</v>
      </c>
      <c r="D1202" s="2">
        <v>253851</v>
      </c>
      <c r="E1202" s="2">
        <v>320690</v>
      </c>
      <c r="F1202" s="2">
        <v>372208</v>
      </c>
      <c r="G1202" s="2">
        <v>211545</v>
      </c>
      <c r="H1202" s="2">
        <v>23700</v>
      </c>
      <c r="I1202" t="s">
        <v>22</v>
      </c>
      <c r="J1202" t="s">
        <v>22</v>
      </c>
    </row>
    <row r="1203" spans="1:10" x14ac:dyDescent="0.25">
      <c r="A1203" t="s">
        <v>988</v>
      </c>
      <c r="B1203" t="s">
        <v>404</v>
      </c>
      <c r="C1203" s="2">
        <v>10008</v>
      </c>
      <c r="D1203" s="2">
        <v>12913</v>
      </c>
      <c r="E1203" s="2">
        <v>15396</v>
      </c>
      <c r="F1203" s="2">
        <v>15696</v>
      </c>
      <c r="G1203" s="2">
        <v>9143</v>
      </c>
      <c r="H1203">
        <v>0</v>
      </c>
      <c r="I1203" t="s">
        <v>22</v>
      </c>
      <c r="J1203" t="s">
        <v>22</v>
      </c>
    </row>
    <row r="1204" spans="1:10" x14ac:dyDescent="0.25">
      <c r="A1204" t="s">
        <v>989</v>
      </c>
      <c r="B1204" t="s">
        <v>406</v>
      </c>
      <c r="C1204" s="2">
        <v>21525</v>
      </c>
      <c r="D1204" s="2">
        <v>24430</v>
      </c>
      <c r="E1204" s="2">
        <v>46106</v>
      </c>
      <c r="F1204" s="2">
        <v>50717</v>
      </c>
      <c r="G1204" s="2">
        <v>47601</v>
      </c>
      <c r="H1204" s="2">
        <v>22585</v>
      </c>
      <c r="I1204" t="s">
        <v>22</v>
      </c>
      <c r="J1204" t="s">
        <v>22</v>
      </c>
    </row>
    <row r="1205" spans="1:10" x14ac:dyDescent="0.25">
      <c r="A1205" t="s">
        <v>990</v>
      </c>
      <c r="B1205" t="s">
        <v>424</v>
      </c>
      <c r="C1205" s="2">
        <v>6471</v>
      </c>
      <c r="D1205" s="2">
        <v>4083</v>
      </c>
      <c r="E1205" s="2">
        <v>4394</v>
      </c>
      <c r="F1205" s="2">
        <v>4691</v>
      </c>
      <c r="G1205" s="2">
        <v>3979</v>
      </c>
      <c r="H1205">
        <v>0</v>
      </c>
      <c r="I1205" t="s">
        <v>22</v>
      </c>
      <c r="J1205" t="s">
        <v>22</v>
      </c>
    </row>
    <row r="1206" spans="1:10" x14ac:dyDescent="0.25">
      <c r="A1206" t="s">
        <v>991</v>
      </c>
      <c r="B1206" t="s">
        <v>426</v>
      </c>
      <c r="C1206" s="2">
        <v>6479</v>
      </c>
      <c r="D1206" s="2">
        <v>5264</v>
      </c>
      <c r="E1206" s="2">
        <v>8503</v>
      </c>
      <c r="F1206" s="2">
        <v>9718</v>
      </c>
      <c r="G1206" s="2">
        <v>7889</v>
      </c>
      <c r="H1206">
        <v>0</v>
      </c>
      <c r="I1206" t="s">
        <v>22</v>
      </c>
      <c r="J1206" t="s">
        <v>22</v>
      </c>
    </row>
    <row r="1207" spans="1:10" x14ac:dyDescent="0.25">
      <c r="A1207" t="s">
        <v>992</v>
      </c>
      <c r="B1207" t="s">
        <v>598</v>
      </c>
      <c r="C1207" s="2">
        <v>13478</v>
      </c>
      <c r="D1207" s="2">
        <v>15400</v>
      </c>
      <c r="E1207" s="2">
        <v>21500</v>
      </c>
      <c r="F1207" s="2">
        <v>25900</v>
      </c>
      <c r="G1207" s="2">
        <v>14300</v>
      </c>
      <c r="H1207">
        <v>0</v>
      </c>
      <c r="I1207" t="s">
        <v>22</v>
      </c>
      <c r="J1207" t="s">
        <v>22</v>
      </c>
    </row>
    <row r="1208" spans="1:10" x14ac:dyDescent="0.25">
      <c r="A1208" t="s">
        <v>993</v>
      </c>
      <c r="B1208" t="s">
        <v>428</v>
      </c>
      <c r="C1208">
        <v>46</v>
      </c>
      <c r="D1208">
        <v>600</v>
      </c>
      <c r="E1208">
        <v>646</v>
      </c>
      <c r="F1208">
        <v>600</v>
      </c>
      <c r="G1208">
        <v>415</v>
      </c>
      <c r="H1208">
        <v>0</v>
      </c>
      <c r="I1208" t="s">
        <v>22</v>
      </c>
      <c r="J1208" t="s">
        <v>22</v>
      </c>
    </row>
    <row r="1209" spans="1:10" x14ac:dyDescent="0.25">
      <c r="A1209" t="s">
        <v>994</v>
      </c>
      <c r="B1209" t="s">
        <v>430</v>
      </c>
      <c r="C1209">
        <v>692</v>
      </c>
      <c r="D1209">
        <v>519</v>
      </c>
      <c r="E1209">
        <v>727</v>
      </c>
      <c r="F1209">
        <v>830</v>
      </c>
      <c r="G1209">
        <v>761</v>
      </c>
      <c r="H1209">
        <v>0</v>
      </c>
      <c r="I1209" t="s">
        <v>22</v>
      </c>
      <c r="J1209" t="s">
        <v>22</v>
      </c>
    </row>
    <row r="1210" spans="1:10" x14ac:dyDescent="0.25">
      <c r="A1210" t="s">
        <v>995</v>
      </c>
      <c r="B1210" t="s">
        <v>996</v>
      </c>
      <c r="C1210" s="2">
        <v>115647</v>
      </c>
      <c r="D1210" s="2">
        <v>136250</v>
      </c>
      <c r="E1210" s="2">
        <v>136500</v>
      </c>
      <c r="F1210" s="2">
        <v>143325</v>
      </c>
      <c r="G1210" s="2">
        <v>98700</v>
      </c>
      <c r="H1210" s="2">
        <v>38066</v>
      </c>
      <c r="I1210" t="s">
        <v>22</v>
      </c>
      <c r="J1210" t="s">
        <v>22</v>
      </c>
    </row>
    <row r="1211" spans="1:10" x14ac:dyDescent="0.25">
      <c r="A1211" t="s">
        <v>997</v>
      </c>
      <c r="B1211" t="s">
        <v>998</v>
      </c>
      <c r="C1211" s="2">
        <v>103996</v>
      </c>
      <c r="D1211" s="2">
        <v>82384</v>
      </c>
      <c r="E1211" s="2">
        <v>102000</v>
      </c>
      <c r="F1211" s="2">
        <v>105100</v>
      </c>
      <c r="G1211" s="2">
        <v>73754</v>
      </c>
      <c r="H1211">
        <v>0</v>
      </c>
      <c r="I1211" t="s">
        <v>22</v>
      </c>
      <c r="J1211" t="s">
        <v>22</v>
      </c>
    </row>
    <row r="1212" spans="1:10" x14ac:dyDescent="0.25">
      <c r="A1212" t="s">
        <v>999</v>
      </c>
      <c r="B1212" t="s">
        <v>1000</v>
      </c>
      <c r="C1212" s="2">
        <v>92323</v>
      </c>
      <c r="D1212" s="2">
        <v>102370</v>
      </c>
      <c r="E1212" s="2">
        <v>106241</v>
      </c>
      <c r="F1212" s="2">
        <v>112687</v>
      </c>
      <c r="G1212" s="2">
        <v>78677</v>
      </c>
      <c r="H1212" s="2">
        <v>31596</v>
      </c>
      <c r="I1212" t="s">
        <v>22</v>
      </c>
      <c r="J1212" t="s">
        <v>22</v>
      </c>
    </row>
    <row r="1213" spans="1:10" x14ac:dyDescent="0.25">
      <c r="A1213" t="s">
        <v>1001</v>
      </c>
      <c r="B1213" t="s">
        <v>1002</v>
      </c>
      <c r="C1213" s="2">
        <v>147896</v>
      </c>
      <c r="D1213" s="2">
        <v>165661</v>
      </c>
      <c r="E1213" s="2">
        <v>170748</v>
      </c>
      <c r="F1213" s="2">
        <v>181900</v>
      </c>
      <c r="G1213" s="2">
        <v>124278</v>
      </c>
      <c r="H1213" s="2">
        <v>27012</v>
      </c>
      <c r="I1213" t="s">
        <v>22</v>
      </c>
      <c r="J1213" t="s">
        <v>22</v>
      </c>
    </row>
    <row r="1214" spans="1:10" x14ac:dyDescent="0.25">
      <c r="A1214" t="s">
        <v>1003</v>
      </c>
      <c r="B1214" t="s">
        <v>1004</v>
      </c>
      <c r="C1214" s="2">
        <v>195726</v>
      </c>
      <c r="D1214" s="2">
        <v>233041</v>
      </c>
      <c r="E1214" s="2">
        <v>323712</v>
      </c>
      <c r="F1214" s="2">
        <v>340397</v>
      </c>
      <c r="G1214" s="2">
        <v>172200</v>
      </c>
      <c r="H1214">
        <v>0</v>
      </c>
      <c r="I1214" t="s">
        <v>22</v>
      </c>
      <c r="J1214" t="s">
        <v>22</v>
      </c>
    </row>
    <row r="1215" spans="1:10" x14ac:dyDescent="0.25">
      <c r="A1215" t="s">
        <v>1005</v>
      </c>
      <c r="B1215" t="s">
        <v>1006</v>
      </c>
      <c r="C1215" s="2">
        <v>485975</v>
      </c>
      <c r="D1215" s="2">
        <v>725792</v>
      </c>
      <c r="E1215" s="2">
        <v>723942</v>
      </c>
      <c r="F1215" s="2">
        <v>777760</v>
      </c>
      <c r="G1215" s="2">
        <v>525053</v>
      </c>
      <c r="H1215" s="2">
        <v>140970</v>
      </c>
      <c r="I1215" t="s">
        <v>22</v>
      </c>
      <c r="J1215" t="s">
        <v>22</v>
      </c>
    </row>
    <row r="1216" spans="1:10" x14ac:dyDescent="0.25">
      <c r="A1216" t="s">
        <v>1007</v>
      </c>
      <c r="B1216" t="s">
        <v>1008</v>
      </c>
      <c r="C1216">
        <v>0</v>
      </c>
      <c r="D1216">
        <v>0</v>
      </c>
      <c r="E1216" s="2">
        <v>45321</v>
      </c>
      <c r="F1216" s="2">
        <v>130238</v>
      </c>
      <c r="G1216" s="2">
        <v>88518</v>
      </c>
      <c r="H1216">
        <v>0</v>
      </c>
      <c r="I1216" t="s">
        <v>22</v>
      </c>
      <c r="J1216" t="s">
        <v>22</v>
      </c>
    </row>
    <row r="1217" spans="1:10" x14ac:dyDescent="0.25">
      <c r="A1217" t="s">
        <v>1009</v>
      </c>
      <c r="B1217" t="s">
        <v>592</v>
      </c>
      <c r="C1217">
        <v>0</v>
      </c>
      <c r="D1217">
        <v>0</v>
      </c>
      <c r="E1217" s="2">
        <v>67108</v>
      </c>
      <c r="F1217">
        <v>0</v>
      </c>
      <c r="G1217" s="2">
        <v>8022</v>
      </c>
      <c r="H1217">
        <v>0</v>
      </c>
      <c r="I1217" t="s">
        <v>22</v>
      </c>
      <c r="J1217" t="s">
        <v>22</v>
      </c>
    </row>
    <row r="1218" spans="1:10" x14ac:dyDescent="0.25">
      <c r="A1218" t="s">
        <v>1010</v>
      </c>
      <c r="B1218" t="s">
        <v>1011</v>
      </c>
      <c r="C1218" s="2">
        <v>60706</v>
      </c>
      <c r="D1218" s="2">
        <v>30490</v>
      </c>
      <c r="E1218" s="2">
        <v>56067</v>
      </c>
      <c r="F1218" s="2">
        <v>58968</v>
      </c>
      <c r="G1218" s="2">
        <v>40331</v>
      </c>
      <c r="H1218" s="2">
        <v>21589</v>
      </c>
      <c r="I1218" t="s">
        <v>22</v>
      </c>
      <c r="J1218" t="s">
        <v>22</v>
      </c>
    </row>
    <row r="1219" spans="1:10" x14ac:dyDescent="0.25">
      <c r="A1219" t="s">
        <v>1012</v>
      </c>
      <c r="B1219" t="s">
        <v>1013</v>
      </c>
      <c r="C1219">
        <v>0</v>
      </c>
      <c r="D1219">
        <v>0</v>
      </c>
      <c r="E1219">
        <v>0</v>
      </c>
      <c r="F1219">
        <v>0</v>
      </c>
      <c r="G1219">
        <v>0</v>
      </c>
      <c r="H1219">
        <v>0</v>
      </c>
      <c r="I1219" t="s">
        <v>22</v>
      </c>
      <c r="J1219" t="s">
        <v>22</v>
      </c>
    </row>
    <row r="1220" spans="1:10" x14ac:dyDescent="0.25">
      <c r="A1220" t="s">
        <v>1014</v>
      </c>
      <c r="B1220" t="s">
        <v>432</v>
      </c>
      <c r="C1220" s="2">
        <v>85223</v>
      </c>
      <c r="D1220" s="2">
        <v>108687</v>
      </c>
      <c r="E1220" s="2">
        <v>83587</v>
      </c>
      <c r="F1220" s="2">
        <v>60000</v>
      </c>
      <c r="G1220" s="2">
        <v>66435</v>
      </c>
      <c r="H1220" s="2">
        <v>6500</v>
      </c>
      <c r="I1220" t="s">
        <v>22</v>
      </c>
      <c r="J1220" t="s">
        <v>22</v>
      </c>
    </row>
    <row r="1221" spans="1:10" x14ac:dyDescent="0.25">
      <c r="A1221" t="s">
        <v>1015</v>
      </c>
      <c r="B1221" t="s">
        <v>434</v>
      </c>
      <c r="C1221">
        <v>0</v>
      </c>
      <c r="D1221">
        <v>0</v>
      </c>
      <c r="E1221">
        <v>0</v>
      </c>
      <c r="F1221">
        <v>0</v>
      </c>
      <c r="G1221">
        <v>0</v>
      </c>
      <c r="H1221">
        <v>0</v>
      </c>
      <c r="I1221" t="s">
        <v>22</v>
      </c>
      <c r="J1221" t="s">
        <v>22</v>
      </c>
    </row>
    <row r="1222" spans="1:10" x14ac:dyDescent="0.25">
      <c r="A1222" t="s">
        <v>1016</v>
      </c>
      <c r="B1222" t="s">
        <v>1017</v>
      </c>
      <c r="C1222">
        <v>0</v>
      </c>
      <c r="D1222">
        <v>0</v>
      </c>
      <c r="E1222">
        <v>0</v>
      </c>
      <c r="F1222">
        <v>0</v>
      </c>
      <c r="G1222" s="2">
        <v>4431</v>
      </c>
      <c r="H1222">
        <v>0</v>
      </c>
      <c r="I1222" t="s">
        <v>22</v>
      </c>
      <c r="J1222" t="s">
        <v>22</v>
      </c>
    </row>
    <row r="1223" spans="1:10" x14ac:dyDescent="0.25">
      <c r="A1223" t="s">
        <v>1018</v>
      </c>
      <c r="B1223" t="s">
        <v>436</v>
      </c>
      <c r="C1223">
        <v>0</v>
      </c>
      <c r="D1223">
        <v>0</v>
      </c>
      <c r="E1223">
        <v>0</v>
      </c>
      <c r="F1223">
        <v>0</v>
      </c>
      <c r="G1223">
        <v>0</v>
      </c>
      <c r="H1223">
        <v>0</v>
      </c>
      <c r="I1223" t="s">
        <v>22</v>
      </c>
      <c r="J1223" t="s">
        <v>22</v>
      </c>
    </row>
    <row r="1224" spans="1:10" x14ac:dyDescent="0.25">
      <c r="A1224" t="s">
        <v>1019</v>
      </c>
      <c r="B1224" t="s">
        <v>1020</v>
      </c>
      <c r="C1224">
        <v>0</v>
      </c>
      <c r="D1224">
        <v>0</v>
      </c>
      <c r="E1224">
        <v>0</v>
      </c>
      <c r="F1224" s="2">
        <v>65400</v>
      </c>
      <c r="G1224" s="2">
        <v>22570</v>
      </c>
      <c r="H1224">
        <v>0</v>
      </c>
      <c r="I1224" t="s">
        <v>22</v>
      </c>
      <c r="J1224" t="s">
        <v>22</v>
      </c>
    </row>
    <row r="1225" spans="1:10" x14ac:dyDescent="0.25">
      <c r="A1225" t="s">
        <v>1021</v>
      </c>
      <c r="B1225" t="s">
        <v>1022</v>
      </c>
      <c r="C1225">
        <v>0</v>
      </c>
      <c r="D1225">
        <v>0</v>
      </c>
      <c r="E1225">
        <v>0</v>
      </c>
      <c r="F1225" s="2">
        <v>71476</v>
      </c>
      <c r="G1225" s="2">
        <v>9970</v>
      </c>
      <c r="H1225">
        <v>0</v>
      </c>
      <c r="I1225" t="s">
        <v>22</v>
      </c>
      <c r="J1225" t="s">
        <v>22</v>
      </c>
    </row>
    <row r="1226" spans="1:10" x14ac:dyDescent="0.25">
      <c r="A1226" t="s">
        <v>1023</v>
      </c>
      <c r="B1226" t="s">
        <v>607</v>
      </c>
      <c r="C1226">
        <v>0</v>
      </c>
      <c r="D1226">
        <v>0</v>
      </c>
      <c r="E1226">
        <v>0</v>
      </c>
      <c r="F1226">
        <v>0</v>
      </c>
      <c r="G1226">
        <v>0</v>
      </c>
      <c r="H1226">
        <v>0</v>
      </c>
      <c r="I1226" t="s">
        <v>22</v>
      </c>
      <c r="J1226" t="s">
        <v>22</v>
      </c>
    </row>
    <row r="1227" spans="1:10" x14ac:dyDescent="0.25">
      <c r="A1227" t="s">
        <v>1024</v>
      </c>
      <c r="B1227" t="s">
        <v>1025</v>
      </c>
      <c r="C1227">
        <v>0</v>
      </c>
      <c r="D1227">
        <v>0</v>
      </c>
      <c r="E1227">
        <v>0</v>
      </c>
      <c r="F1227">
        <v>0</v>
      </c>
      <c r="G1227">
        <v>0</v>
      </c>
      <c r="H1227">
        <v>0</v>
      </c>
      <c r="I1227" t="s">
        <v>22</v>
      </c>
      <c r="J1227" t="s">
        <v>22</v>
      </c>
    </row>
    <row r="1228" spans="1:10" x14ac:dyDescent="0.25">
      <c r="C1228" t="s">
        <v>108</v>
      </c>
      <c r="D1228" t="s">
        <v>108</v>
      </c>
      <c r="E1228" t="s">
        <v>108</v>
      </c>
      <c r="F1228" t="s">
        <v>108</v>
      </c>
      <c r="G1228" t="s">
        <v>108</v>
      </c>
    </row>
    <row r="1229" spans="1:10" x14ac:dyDescent="0.25">
      <c r="H1229" t="s">
        <v>22</v>
      </c>
      <c r="I1229" t="s">
        <v>22</v>
      </c>
      <c r="J1229" t="s">
        <v>22</v>
      </c>
    </row>
    <row r="1230" spans="1:10" x14ac:dyDescent="0.25">
      <c r="A1230" t="s">
        <v>109</v>
      </c>
    </row>
    <row r="1231" spans="1:10" x14ac:dyDescent="0.25">
      <c r="B1231" t="s">
        <v>441</v>
      </c>
      <c r="C1231" s="2">
        <v>1760671</v>
      </c>
      <c r="D1231" s="2">
        <v>2184955</v>
      </c>
      <c r="E1231" s="2">
        <v>2539881</v>
      </c>
      <c r="F1231" s="2">
        <v>2862216</v>
      </c>
      <c r="G1231" s="2">
        <v>1822137</v>
      </c>
      <c r="H1231" s="2">
        <v>343765</v>
      </c>
    </row>
    <row r="1233" spans="1:10" x14ac:dyDescent="0.25">
      <c r="A1233" t="s">
        <v>442</v>
      </c>
      <c r="B1233" t="s">
        <v>443</v>
      </c>
    </row>
    <row r="1234" spans="1:10" x14ac:dyDescent="0.25">
      <c r="A1234" t="s">
        <v>18</v>
      </c>
      <c r="B1234" t="s">
        <v>21</v>
      </c>
    </row>
    <row r="1235" spans="1:10" x14ac:dyDescent="0.25">
      <c r="A1235" t="s">
        <v>1026</v>
      </c>
      <c r="B1235" t="s">
        <v>445</v>
      </c>
      <c r="C1235" s="2">
        <v>24567</v>
      </c>
      <c r="D1235" s="2">
        <v>31921</v>
      </c>
      <c r="E1235" s="2">
        <v>33678</v>
      </c>
      <c r="F1235" s="2">
        <v>37046</v>
      </c>
      <c r="G1235" s="2">
        <v>30963</v>
      </c>
      <c r="H1235" s="2">
        <v>10640</v>
      </c>
      <c r="I1235" t="s">
        <v>22</v>
      </c>
      <c r="J1235" t="s">
        <v>22</v>
      </c>
    </row>
    <row r="1236" spans="1:10" x14ac:dyDescent="0.25">
      <c r="A1236" t="s">
        <v>1027</v>
      </c>
      <c r="B1236" t="s">
        <v>447</v>
      </c>
      <c r="C1236" s="2">
        <v>3885</v>
      </c>
      <c r="D1236" s="2">
        <v>12784</v>
      </c>
      <c r="E1236" s="2">
        <v>12603</v>
      </c>
      <c r="F1236" s="2">
        <v>9000</v>
      </c>
      <c r="G1236" s="2">
        <v>11292</v>
      </c>
      <c r="H1236" s="2">
        <v>7000</v>
      </c>
      <c r="I1236" t="s">
        <v>22</v>
      </c>
      <c r="J1236" t="s">
        <v>22</v>
      </c>
    </row>
    <row r="1237" spans="1:10" x14ac:dyDescent="0.25">
      <c r="A1237" t="s">
        <v>1028</v>
      </c>
      <c r="B1237" t="s">
        <v>1029</v>
      </c>
      <c r="C1237">
        <v>400</v>
      </c>
      <c r="D1237" s="2">
        <v>17290</v>
      </c>
      <c r="E1237" s="2">
        <v>1700</v>
      </c>
      <c r="F1237" s="2">
        <v>16200</v>
      </c>
      <c r="G1237" s="2">
        <v>6958</v>
      </c>
      <c r="H1237">
        <v>0</v>
      </c>
      <c r="I1237" t="s">
        <v>22</v>
      </c>
      <c r="J1237" t="s">
        <v>22</v>
      </c>
    </row>
    <row r="1238" spans="1:10" x14ac:dyDescent="0.25">
      <c r="A1238" t="s">
        <v>1030</v>
      </c>
      <c r="B1238" t="s">
        <v>449</v>
      </c>
      <c r="C1238" s="2">
        <v>2763</v>
      </c>
      <c r="D1238" s="2">
        <v>5637</v>
      </c>
      <c r="E1238" s="2">
        <v>11475</v>
      </c>
      <c r="F1238" s="2">
        <v>23000</v>
      </c>
      <c r="G1238" s="2">
        <v>19597</v>
      </c>
      <c r="H1238">
        <v>0</v>
      </c>
      <c r="I1238" t="s">
        <v>22</v>
      </c>
      <c r="J1238" t="s">
        <v>22</v>
      </c>
    </row>
    <row r="1239" spans="1:10" x14ac:dyDescent="0.25">
      <c r="A1239" t="s">
        <v>1031</v>
      </c>
      <c r="B1239" t="s">
        <v>1032</v>
      </c>
      <c r="C1239">
        <v>0</v>
      </c>
      <c r="D1239">
        <v>0</v>
      </c>
      <c r="E1239">
        <v>0</v>
      </c>
      <c r="F1239">
        <v>0</v>
      </c>
      <c r="G1239">
        <v>0</v>
      </c>
      <c r="H1239">
        <v>0</v>
      </c>
      <c r="I1239" t="s">
        <v>22</v>
      </c>
      <c r="J1239" t="s">
        <v>22</v>
      </c>
    </row>
    <row r="1240" spans="1:10" x14ac:dyDescent="0.25">
      <c r="A1240" t="s">
        <v>1033</v>
      </c>
      <c r="B1240" t="s">
        <v>451</v>
      </c>
      <c r="C1240" s="2">
        <v>2465</v>
      </c>
      <c r="D1240" s="2">
        <v>9550</v>
      </c>
      <c r="E1240" s="2">
        <v>15300</v>
      </c>
      <c r="F1240" s="2">
        <v>34500</v>
      </c>
      <c r="G1240" s="2">
        <v>8894</v>
      </c>
      <c r="H1240" s="2">
        <v>3500</v>
      </c>
      <c r="I1240" t="s">
        <v>22</v>
      </c>
      <c r="J1240" t="s">
        <v>22</v>
      </c>
    </row>
    <row r="1241" spans="1:10" x14ac:dyDescent="0.25">
      <c r="A1241" t="s">
        <v>1034</v>
      </c>
      <c r="B1241" t="s">
        <v>1035</v>
      </c>
      <c r="C1241">
        <v>200</v>
      </c>
      <c r="D1241" s="2">
        <v>1000</v>
      </c>
      <c r="E1241">
        <v>0</v>
      </c>
      <c r="F1241" s="2">
        <v>3300</v>
      </c>
      <c r="G1241" s="2">
        <v>2243</v>
      </c>
      <c r="H1241">
        <v>0</v>
      </c>
      <c r="I1241" t="s">
        <v>22</v>
      </c>
      <c r="J1241" t="s">
        <v>22</v>
      </c>
    </row>
    <row r="1242" spans="1:10" x14ac:dyDescent="0.25">
      <c r="A1242" t="s">
        <v>1036</v>
      </c>
      <c r="B1242" t="s">
        <v>1037</v>
      </c>
      <c r="C1242" s="2">
        <v>3559</v>
      </c>
      <c r="D1242">
        <v>0</v>
      </c>
      <c r="E1242">
        <v>0</v>
      </c>
      <c r="F1242" s="2">
        <v>3559</v>
      </c>
      <c r="G1242">
        <v>0</v>
      </c>
      <c r="H1242">
        <v>0</v>
      </c>
      <c r="I1242" t="s">
        <v>22</v>
      </c>
      <c r="J1242" t="s">
        <v>22</v>
      </c>
    </row>
    <row r="1243" spans="1:10" x14ac:dyDescent="0.25">
      <c r="A1243" t="s">
        <v>1038</v>
      </c>
      <c r="B1243" t="s">
        <v>1039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v>0</v>
      </c>
      <c r="I1243" t="s">
        <v>22</v>
      </c>
      <c r="J1243" t="s">
        <v>22</v>
      </c>
    </row>
    <row r="1244" spans="1:10" x14ac:dyDescent="0.25">
      <c r="A1244" t="s">
        <v>1040</v>
      </c>
      <c r="B1244" t="s">
        <v>457</v>
      </c>
      <c r="C1244">
        <v>120</v>
      </c>
      <c r="D1244">
        <v>707</v>
      </c>
      <c r="E1244" s="2">
        <v>1003</v>
      </c>
      <c r="F1244" s="2">
        <v>1980</v>
      </c>
      <c r="G1244" s="2">
        <v>2183</v>
      </c>
      <c r="H1244">
        <v>300</v>
      </c>
      <c r="I1244" t="s">
        <v>22</v>
      </c>
      <c r="J1244" t="s">
        <v>22</v>
      </c>
    </row>
    <row r="1245" spans="1:10" x14ac:dyDescent="0.25">
      <c r="A1245" t="s">
        <v>1041</v>
      </c>
      <c r="B1245" t="s">
        <v>459</v>
      </c>
      <c r="C1245">
        <v>112</v>
      </c>
      <c r="D1245">
        <v>0</v>
      </c>
      <c r="E1245">
        <v>0</v>
      </c>
      <c r="F1245">
        <v>0</v>
      </c>
      <c r="G1245">
        <v>0</v>
      </c>
      <c r="H1245">
        <v>100</v>
      </c>
      <c r="I1245" t="s">
        <v>22</v>
      </c>
      <c r="J1245" t="s">
        <v>22</v>
      </c>
    </row>
    <row r="1246" spans="1:10" x14ac:dyDescent="0.25">
      <c r="A1246" t="s">
        <v>1042</v>
      </c>
      <c r="B1246" t="s">
        <v>461</v>
      </c>
      <c r="C1246">
        <v>0</v>
      </c>
      <c r="D1246">
        <v>0</v>
      </c>
      <c r="E1246">
        <v>210</v>
      </c>
      <c r="F1246">
        <v>0</v>
      </c>
      <c r="G1246">
        <v>0</v>
      </c>
      <c r="H1246">
        <v>0</v>
      </c>
      <c r="I1246" t="s">
        <v>22</v>
      </c>
      <c r="J1246" t="s">
        <v>22</v>
      </c>
    </row>
    <row r="1247" spans="1:10" x14ac:dyDescent="0.25">
      <c r="A1247" t="s">
        <v>110</v>
      </c>
    </row>
    <row r="1248" spans="1:10" x14ac:dyDescent="0.25">
      <c r="A1248" s="1">
        <v>43991</v>
      </c>
      <c r="B1248" t="s">
        <v>111</v>
      </c>
      <c r="D1248" t="s">
        <v>112</v>
      </c>
      <c r="E1248" t="s">
        <v>113</v>
      </c>
      <c r="F1248" t="s">
        <v>114</v>
      </c>
      <c r="J1248" t="s">
        <v>1043</v>
      </c>
    </row>
    <row r="1249" spans="1:10" x14ac:dyDescent="0.25">
      <c r="D1249" t="s">
        <v>116</v>
      </c>
      <c r="E1249" t="s">
        <v>117</v>
      </c>
      <c r="F1249" t="s">
        <v>118</v>
      </c>
    </row>
    <row r="1250" spans="1:10" x14ac:dyDescent="0.25">
      <c r="D1250" t="s">
        <v>119</v>
      </c>
      <c r="E1250" t="s">
        <v>120</v>
      </c>
      <c r="F1250" t="s">
        <v>121</v>
      </c>
    </row>
    <row r="1251" spans="1:10" x14ac:dyDescent="0.25">
      <c r="A1251" t="s">
        <v>122</v>
      </c>
      <c r="B1251" t="s">
        <v>123</v>
      </c>
    </row>
    <row r="1252" spans="1:10" x14ac:dyDescent="0.25">
      <c r="A1252" t="s">
        <v>386</v>
      </c>
    </row>
    <row r="1253" spans="1:10" x14ac:dyDescent="0.25">
      <c r="F1253" t="s">
        <v>2</v>
      </c>
      <c r="G1253" t="s">
        <v>3</v>
      </c>
      <c r="H1253" t="s">
        <v>4</v>
      </c>
      <c r="I1253" t="s">
        <v>5</v>
      </c>
      <c r="J1253" t="s">
        <v>6</v>
      </c>
    </row>
    <row r="1254" spans="1:10" x14ac:dyDescent="0.25">
      <c r="C1254" t="s">
        <v>7</v>
      </c>
      <c r="D1254" t="s">
        <v>8</v>
      </c>
      <c r="E1254" t="s">
        <v>9</v>
      </c>
      <c r="F1254" t="s">
        <v>10</v>
      </c>
      <c r="G1254" t="s">
        <v>124</v>
      </c>
      <c r="H1254" t="s">
        <v>12</v>
      </c>
      <c r="I1254" t="s">
        <v>13</v>
      </c>
      <c r="J1254" t="s">
        <v>14</v>
      </c>
    </row>
    <row r="1255" spans="1:10" x14ac:dyDescent="0.25">
      <c r="C1255" t="s">
        <v>15</v>
      </c>
      <c r="D1255" t="s">
        <v>15</v>
      </c>
      <c r="E1255" t="s">
        <v>15</v>
      </c>
      <c r="F1255" t="s">
        <v>16</v>
      </c>
      <c r="G1255" t="s">
        <v>15</v>
      </c>
      <c r="H1255" t="s">
        <v>17</v>
      </c>
      <c r="I1255" t="s">
        <v>16</v>
      </c>
      <c r="J1255" t="s">
        <v>16</v>
      </c>
    </row>
    <row r="1256" spans="1:10" x14ac:dyDescent="0.25">
      <c r="A1256" t="s">
        <v>18</v>
      </c>
      <c r="B1256" t="s">
        <v>19</v>
      </c>
      <c r="C1256" t="s">
        <v>20</v>
      </c>
      <c r="D1256" t="s">
        <v>21</v>
      </c>
      <c r="E1256" t="s">
        <v>22</v>
      </c>
      <c r="F1256" t="s">
        <v>23</v>
      </c>
      <c r="G1256" t="s">
        <v>24</v>
      </c>
      <c r="H1256" t="s">
        <v>20</v>
      </c>
      <c r="I1256" t="s">
        <v>24</v>
      </c>
      <c r="J1256" t="s">
        <v>20</v>
      </c>
    </row>
    <row r="1257" spans="1:10" x14ac:dyDescent="0.25">
      <c r="A1257" t="s">
        <v>1044</v>
      </c>
      <c r="B1257" t="s">
        <v>465</v>
      </c>
      <c r="C1257" s="2">
        <v>19450</v>
      </c>
      <c r="D1257" s="2">
        <v>12275</v>
      </c>
      <c r="E1257">
        <v>0</v>
      </c>
      <c r="F1257">
        <v>0</v>
      </c>
      <c r="G1257">
        <v>0</v>
      </c>
      <c r="H1257">
        <v>0</v>
      </c>
      <c r="I1257" t="s">
        <v>22</v>
      </c>
      <c r="J1257" t="s">
        <v>22</v>
      </c>
    </row>
    <row r="1258" spans="1:10" x14ac:dyDescent="0.25">
      <c r="A1258" t="s">
        <v>1045</v>
      </c>
      <c r="B1258" t="s">
        <v>471</v>
      </c>
      <c r="C1258" s="2">
        <v>10412</v>
      </c>
      <c r="D1258" s="2">
        <v>11701</v>
      </c>
      <c r="E1258" s="2">
        <v>14352</v>
      </c>
      <c r="F1258" s="2">
        <v>24750</v>
      </c>
      <c r="G1258" s="2">
        <v>16184</v>
      </c>
      <c r="H1258" s="2">
        <v>3000</v>
      </c>
      <c r="I1258" t="s">
        <v>22</v>
      </c>
      <c r="J1258" t="s">
        <v>22</v>
      </c>
    </row>
    <row r="1259" spans="1:10" x14ac:dyDescent="0.25">
      <c r="A1259" t="s">
        <v>1046</v>
      </c>
      <c r="B1259" t="s">
        <v>1047</v>
      </c>
      <c r="C1259" s="2">
        <v>13284</v>
      </c>
      <c r="D1259" s="2">
        <v>13015</v>
      </c>
      <c r="E1259" s="2">
        <v>12804</v>
      </c>
      <c r="F1259" s="2">
        <v>15550</v>
      </c>
      <c r="G1259" s="2">
        <v>8900</v>
      </c>
      <c r="H1259" s="2">
        <v>4000</v>
      </c>
      <c r="I1259" t="s">
        <v>22</v>
      </c>
      <c r="J1259" t="s">
        <v>22</v>
      </c>
    </row>
    <row r="1260" spans="1:10" x14ac:dyDescent="0.25">
      <c r="A1260" t="s">
        <v>1048</v>
      </c>
      <c r="B1260" t="s">
        <v>1049</v>
      </c>
      <c r="C1260" s="2">
        <v>1455</v>
      </c>
      <c r="D1260" s="2">
        <v>1505</v>
      </c>
      <c r="E1260" s="2">
        <v>1347</v>
      </c>
      <c r="F1260" s="2">
        <v>2200</v>
      </c>
      <c r="G1260">
        <v>510</v>
      </c>
      <c r="H1260">
        <v>0</v>
      </c>
      <c r="I1260" t="s">
        <v>22</v>
      </c>
      <c r="J1260" t="s">
        <v>22</v>
      </c>
    </row>
    <row r="1261" spans="1:10" x14ac:dyDescent="0.25">
      <c r="A1261" t="s">
        <v>1050</v>
      </c>
      <c r="B1261" t="s">
        <v>1051</v>
      </c>
      <c r="C1261">
        <v>782</v>
      </c>
      <c r="D1261">
        <v>981</v>
      </c>
      <c r="E1261">
        <v>914</v>
      </c>
      <c r="F1261" s="2">
        <v>1575</v>
      </c>
      <c r="G1261">
        <v>289</v>
      </c>
      <c r="H1261">
        <v>0</v>
      </c>
      <c r="I1261" t="s">
        <v>22</v>
      </c>
      <c r="J1261" t="s">
        <v>22</v>
      </c>
    </row>
    <row r="1262" spans="1:10" x14ac:dyDescent="0.25">
      <c r="A1262" t="s">
        <v>1052</v>
      </c>
      <c r="B1262" t="s">
        <v>473</v>
      </c>
      <c r="C1262">
        <v>614</v>
      </c>
      <c r="D1262" s="2">
        <v>2920</v>
      </c>
      <c r="E1262" s="2">
        <v>1062</v>
      </c>
      <c r="F1262" s="2">
        <v>6900</v>
      </c>
      <c r="G1262">
        <v>170</v>
      </c>
      <c r="H1262" s="2">
        <v>11000</v>
      </c>
      <c r="I1262" t="s">
        <v>22</v>
      </c>
      <c r="J1262" t="s">
        <v>22</v>
      </c>
    </row>
    <row r="1263" spans="1:10" x14ac:dyDescent="0.25">
      <c r="A1263" t="s">
        <v>1053</v>
      </c>
      <c r="B1263" t="s">
        <v>626</v>
      </c>
      <c r="C1263" s="2">
        <v>26304</v>
      </c>
      <c r="D1263" s="2">
        <v>30941</v>
      </c>
      <c r="E1263" s="2">
        <v>51597</v>
      </c>
      <c r="F1263" s="2">
        <v>59980</v>
      </c>
      <c r="G1263" s="2">
        <v>22455</v>
      </c>
      <c r="H1263">
        <v>0</v>
      </c>
      <c r="I1263" t="s">
        <v>22</v>
      </c>
      <c r="J1263" t="s">
        <v>22</v>
      </c>
    </row>
    <row r="1264" spans="1:10" x14ac:dyDescent="0.25">
      <c r="A1264" t="s">
        <v>1054</v>
      </c>
      <c r="B1264" t="s">
        <v>1055</v>
      </c>
      <c r="C1264">
        <v>116</v>
      </c>
      <c r="D1264">
        <v>200</v>
      </c>
      <c r="E1264">
        <v>905</v>
      </c>
      <c r="F1264">
        <v>0</v>
      </c>
      <c r="G1264">
        <v>0</v>
      </c>
      <c r="H1264" s="2">
        <v>1000</v>
      </c>
      <c r="I1264" t="s">
        <v>22</v>
      </c>
      <c r="J1264" t="s">
        <v>22</v>
      </c>
    </row>
    <row r="1265" spans="1:10" x14ac:dyDescent="0.25">
      <c r="A1265" t="s">
        <v>1056</v>
      </c>
      <c r="B1265" t="s">
        <v>1057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0</v>
      </c>
      <c r="I1265" t="s">
        <v>22</v>
      </c>
      <c r="J1265" t="s">
        <v>22</v>
      </c>
    </row>
    <row r="1266" spans="1:10" x14ac:dyDescent="0.25">
      <c r="A1266" t="s">
        <v>1058</v>
      </c>
      <c r="B1266" t="s">
        <v>475</v>
      </c>
      <c r="C1266" s="2">
        <v>3962</v>
      </c>
      <c r="D1266" s="2">
        <v>1060</v>
      </c>
      <c r="E1266" s="2">
        <v>1537</v>
      </c>
      <c r="F1266" s="2">
        <v>2600</v>
      </c>
      <c r="G1266" s="2">
        <v>2420</v>
      </c>
      <c r="H1266">
        <v>250</v>
      </c>
      <c r="I1266" t="s">
        <v>22</v>
      </c>
      <c r="J1266" t="s">
        <v>22</v>
      </c>
    </row>
    <row r="1267" spans="1:10" x14ac:dyDescent="0.25">
      <c r="A1267" t="s">
        <v>1059</v>
      </c>
      <c r="B1267" t="s">
        <v>1060</v>
      </c>
      <c r="C1267">
        <v>0</v>
      </c>
      <c r="D1267" s="2">
        <v>1033</v>
      </c>
      <c r="E1267">
        <v>326</v>
      </c>
      <c r="F1267" s="2">
        <v>4000</v>
      </c>
      <c r="G1267" s="2">
        <v>1253</v>
      </c>
      <c r="H1267">
        <v>0</v>
      </c>
      <c r="I1267" t="s">
        <v>22</v>
      </c>
      <c r="J1267" t="s">
        <v>22</v>
      </c>
    </row>
    <row r="1268" spans="1:10" x14ac:dyDescent="0.25">
      <c r="A1268" t="s">
        <v>1061</v>
      </c>
      <c r="B1268" t="s">
        <v>1062</v>
      </c>
      <c r="C1268">
        <v>0</v>
      </c>
      <c r="D1268" s="2">
        <v>6690</v>
      </c>
      <c r="E1268" s="2">
        <v>7237</v>
      </c>
      <c r="F1268" s="2">
        <v>8000</v>
      </c>
      <c r="G1268" s="2">
        <v>5206</v>
      </c>
      <c r="H1268">
        <v>0</v>
      </c>
      <c r="I1268" t="s">
        <v>22</v>
      </c>
      <c r="J1268" t="s">
        <v>22</v>
      </c>
    </row>
    <row r="1269" spans="1:10" x14ac:dyDescent="0.25">
      <c r="A1269" t="s">
        <v>1063</v>
      </c>
      <c r="B1269" t="s">
        <v>1064</v>
      </c>
      <c r="C1269">
        <v>0</v>
      </c>
      <c r="D1269" s="2">
        <v>1740</v>
      </c>
      <c r="E1269" s="2">
        <v>5724</v>
      </c>
      <c r="F1269" s="2">
        <v>6000</v>
      </c>
      <c r="G1269" s="2">
        <v>2662</v>
      </c>
      <c r="H1269">
        <v>0</v>
      </c>
      <c r="I1269" t="s">
        <v>22</v>
      </c>
      <c r="J1269" t="s">
        <v>22</v>
      </c>
    </row>
    <row r="1270" spans="1:10" x14ac:dyDescent="0.25">
      <c r="A1270" t="s">
        <v>1065</v>
      </c>
      <c r="B1270" t="s">
        <v>477</v>
      </c>
      <c r="C1270" s="2">
        <v>8000</v>
      </c>
      <c r="D1270" s="2">
        <v>15737</v>
      </c>
      <c r="E1270" s="2">
        <v>29354</v>
      </c>
      <c r="F1270" s="2">
        <v>55000</v>
      </c>
      <c r="G1270" s="2">
        <v>4367</v>
      </c>
      <c r="H1270">
        <v>0</v>
      </c>
      <c r="I1270" t="s">
        <v>22</v>
      </c>
      <c r="J1270" t="s">
        <v>22</v>
      </c>
    </row>
    <row r="1271" spans="1:10" x14ac:dyDescent="0.25">
      <c r="C1271" t="s">
        <v>108</v>
      </c>
      <c r="D1271" t="s">
        <v>108</v>
      </c>
      <c r="E1271" t="s">
        <v>108</v>
      </c>
      <c r="F1271" t="s">
        <v>108</v>
      </c>
      <c r="G1271" t="s">
        <v>108</v>
      </c>
    </row>
    <row r="1272" spans="1:10" x14ac:dyDescent="0.25">
      <c r="H1272" t="s">
        <v>22</v>
      </c>
      <c r="I1272" t="s">
        <v>22</v>
      </c>
      <c r="J1272" t="s">
        <v>22</v>
      </c>
    </row>
    <row r="1273" spans="1:10" x14ac:dyDescent="0.25">
      <c r="A1273" t="s">
        <v>109</v>
      </c>
    </row>
    <row r="1274" spans="1:10" x14ac:dyDescent="0.25">
      <c r="B1274" t="s">
        <v>478</v>
      </c>
      <c r="C1274" s="2">
        <v>122449</v>
      </c>
      <c r="D1274" s="2">
        <v>178687</v>
      </c>
      <c r="E1274" s="2">
        <v>203130</v>
      </c>
      <c r="F1274" s="2">
        <v>315140</v>
      </c>
      <c r="G1274" s="2">
        <v>146548</v>
      </c>
      <c r="H1274" s="2">
        <v>40790</v>
      </c>
    </row>
    <row r="1276" spans="1:10" x14ac:dyDescent="0.25">
      <c r="A1276" t="s">
        <v>489</v>
      </c>
    </row>
    <row r="1277" spans="1:10" x14ac:dyDescent="0.25">
      <c r="A1277" t="s">
        <v>18</v>
      </c>
    </row>
    <row r="1278" spans="1:10" x14ac:dyDescent="0.25">
      <c r="A1278" t="s">
        <v>1066</v>
      </c>
      <c r="B1278" t="s">
        <v>491</v>
      </c>
      <c r="C1278" s="2">
        <v>1519</v>
      </c>
      <c r="D1278">
        <v>216</v>
      </c>
      <c r="E1278">
        <v>882</v>
      </c>
      <c r="F1278" s="2">
        <v>1500</v>
      </c>
      <c r="G1278">
        <v>0</v>
      </c>
      <c r="H1278">
        <v>300</v>
      </c>
      <c r="I1278" t="s">
        <v>22</v>
      </c>
      <c r="J1278" t="s">
        <v>22</v>
      </c>
    </row>
    <row r="1279" spans="1:10" x14ac:dyDescent="0.25">
      <c r="A1279" t="s">
        <v>1067</v>
      </c>
      <c r="B1279" t="s">
        <v>493</v>
      </c>
      <c r="C1279">
        <v>337</v>
      </c>
      <c r="D1279">
        <v>466</v>
      </c>
      <c r="E1279" s="2">
        <v>1122</v>
      </c>
      <c r="F1279">
        <v>500</v>
      </c>
      <c r="G1279">
        <v>555</v>
      </c>
      <c r="H1279">
        <v>400</v>
      </c>
      <c r="I1279" t="s">
        <v>22</v>
      </c>
      <c r="J1279" t="s">
        <v>22</v>
      </c>
    </row>
    <row r="1280" spans="1:10" x14ac:dyDescent="0.25">
      <c r="A1280" t="s">
        <v>1068</v>
      </c>
      <c r="B1280" t="s">
        <v>489</v>
      </c>
      <c r="C1280" s="2">
        <v>23109</v>
      </c>
      <c r="D1280" s="2">
        <v>20249</v>
      </c>
      <c r="E1280" s="2">
        <v>12442</v>
      </c>
      <c r="F1280" s="2">
        <v>22500</v>
      </c>
      <c r="G1280" s="2">
        <v>10174</v>
      </c>
      <c r="H1280" s="2">
        <v>5000</v>
      </c>
      <c r="I1280" t="s">
        <v>22</v>
      </c>
      <c r="J1280" t="s">
        <v>22</v>
      </c>
    </row>
    <row r="1281" spans="1:10" x14ac:dyDescent="0.25">
      <c r="A1281" t="s">
        <v>1069</v>
      </c>
      <c r="B1281" t="s">
        <v>1070</v>
      </c>
      <c r="C1281" s="2">
        <v>14598</v>
      </c>
      <c r="D1281" s="2">
        <v>48428</v>
      </c>
      <c r="E1281" s="2">
        <v>49947</v>
      </c>
      <c r="F1281" s="2">
        <v>56000</v>
      </c>
      <c r="G1281" s="2">
        <v>31514</v>
      </c>
      <c r="H1281">
        <v>0</v>
      </c>
      <c r="I1281" t="s">
        <v>22</v>
      </c>
      <c r="J1281" t="s">
        <v>22</v>
      </c>
    </row>
    <row r="1282" spans="1:10" x14ac:dyDescent="0.25">
      <c r="A1282" t="s">
        <v>1071</v>
      </c>
      <c r="B1282" t="s">
        <v>1072</v>
      </c>
      <c r="C1282">
        <v>0</v>
      </c>
      <c r="D1282">
        <v>0</v>
      </c>
      <c r="E1282">
        <v>0</v>
      </c>
      <c r="F1282">
        <v>0</v>
      </c>
      <c r="G1282">
        <v>0</v>
      </c>
      <c r="H1282">
        <v>0</v>
      </c>
      <c r="I1282" t="s">
        <v>22</v>
      </c>
      <c r="J1282" t="s">
        <v>22</v>
      </c>
    </row>
    <row r="1283" spans="1:10" x14ac:dyDescent="0.25">
      <c r="A1283" t="s">
        <v>1073</v>
      </c>
      <c r="B1283" t="s">
        <v>496</v>
      </c>
      <c r="C1283" s="2">
        <v>38100</v>
      </c>
      <c r="D1283" s="2">
        <v>47142</v>
      </c>
      <c r="E1283" s="2">
        <v>55065</v>
      </c>
      <c r="F1283" s="2">
        <v>52500</v>
      </c>
      <c r="G1283" s="2">
        <v>28560</v>
      </c>
      <c r="H1283" s="2">
        <v>9200</v>
      </c>
      <c r="I1283" t="s">
        <v>22</v>
      </c>
      <c r="J1283" t="s">
        <v>22</v>
      </c>
    </row>
    <row r="1284" spans="1:10" x14ac:dyDescent="0.25">
      <c r="A1284" t="s">
        <v>1074</v>
      </c>
      <c r="B1284" t="s">
        <v>498</v>
      </c>
      <c r="C1284">
        <v>0</v>
      </c>
      <c r="D1284">
        <v>0</v>
      </c>
      <c r="E1284">
        <v>0</v>
      </c>
      <c r="F1284">
        <v>0</v>
      </c>
      <c r="G1284">
        <v>0</v>
      </c>
      <c r="H1284">
        <v>0</v>
      </c>
      <c r="I1284" t="s">
        <v>22</v>
      </c>
      <c r="J1284" t="s">
        <v>22</v>
      </c>
    </row>
    <row r="1285" spans="1:10" x14ac:dyDescent="0.25">
      <c r="A1285" t="s">
        <v>1075</v>
      </c>
      <c r="B1285" t="s">
        <v>500</v>
      </c>
      <c r="C1285">
        <v>0</v>
      </c>
      <c r="D1285">
        <v>0</v>
      </c>
      <c r="E1285">
        <v>0</v>
      </c>
      <c r="F1285">
        <v>0</v>
      </c>
      <c r="G1285">
        <v>0</v>
      </c>
      <c r="H1285">
        <v>0</v>
      </c>
      <c r="I1285" t="s">
        <v>22</v>
      </c>
      <c r="J1285" t="s">
        <v>22</v>
      </c>
    </row>
    <row r="1286" spans="1:10" x14ac:dyDescent="0.25">
      <c r="C1286" t="s">
        <v>108</v>
      </c>
      <c r="D1286" t="s">
        <v>108</v>
      </c>
      <c r="E1286" t="s">
        <v>108</v>
      </c>
      <c r="F1286" t="s">
        <v>108</v>
      </c>
      <c r="G1286" t="s">
        <v>108</v>
      </c>
    </row>
    <row r="1287" spans="1:10" x14ac:dyDescent="0.25">
      <c r="H1287" t="s">
        <v>22</v>
      </c>
      <c r="I1287" t="s">
        <v>22</v>
      </c>
      <c r="J1287" t="s">
        <v>22</v>
      </c>
    </row>
    <row r="1288" spans="1:10" x14ac:dyDescent="0.25">
      <c r="A1288" t="s">
        <v>109</v>
      </c>
    </row>
    <row r="1289" spans="1:10" x14ac:dyDescent="0.25">
      <c r="B1289" t="s">
        <v>489</v>
      </c>
      <c r="C1289" s="2">
        <v>77663</v>
      </c>
      <c r="D1289" s="2">
        <v>116501</v>
      </c>
      <c r="E1289" s="2">
        <v>119457</v>
      </c>
      <c r="F1289" s="2">
        <v>133000</v>
      </c>
      <c r="G1289" s="2">
        <v>70802</v>
      </c>
      <c r="H1289" s="2">
        <v>14900</v>
      </c>
    </row>
    <row r="1291" spans="1:10" x14ac:dyDescent="0.25">
      <c r="A1291" t="s">
        <v>501</v>
      </c>
    </row>
    <row r="1292" spans="1:10" x14ac:dyDescent="0.25">
      <c r="A1292" t="s">
        <v>18</v>
      </c>
    </row>
    <row r="1293" spans="1:10" x14ac:dyDescent="0.25">
      <c r="A1293" t="s">
        <v>1076</v>
      </c>
      <c r="B1293" t="s">
        <v>503</v>
      </c>
      <c r="C1293" s="2">
        <v>99415</v>
      </c>
      <c r="D1293" s="2">
        <v>9073</v>
      </c>
      <c r="E1293" s="2">
        <v>16574</v>
      </c>
      <c r="F1293" s="2">
        <v>26242</v>
      </c>
      <c r="G1293" s="2">
        <v>32878</v>
      </c>
      <c r="H1293">
        <v>100</v>
      </c>
      <c r="I1293" t="s">
        <v>22</v>
      </c>
      <c r="J1293" t="s">
        <v>22</v>
      </c>
    </row>
    <row r="1294" spans="1:10" x14ac:dyDescent="0.25">
      <c r="A1294" t="s">
        <v>1077</v>
      </c>
      <c r="B1294" t="s">
        <v>507</v>
      </c>
      <c r="C1294">
        <v>0</v>
      </c>
      <c r="D1294">
        <v>0</v>
      </c>
      <c r="E1294">
        <v>0</v>
      </c>
      <c r="F1294">
        <v>0</v>
      </c>
      <c r="G1294">
        <v>0</v>
      </c>
      <c r="H1294">
        <v>0</v>
      </c>
      <c r="I1294" t="s">
        <v>22</v>
      </c>
      <c r="J1294" t="s">
        <v>22</v>
      </c>
    </row>
    <row r="1295" spans="1:10" x14ac:dyDescent="0.25">
      <c r="A1295" t="s">
        <v>1078</v>
      </c>
      <c r="B1295" t="s">
        <v>1079</v>
      </c>
      <c r="C1295">
        <v>900</v>
      </c>
      <c r="D1295">
        <v>0</v>
      </c>
      <c r="E1295">
        <v>0</v>
      </c>
      <c r="F1295">
        <v>900</v>
      </c>
      <c r="G1295">
        <v>0</v>
      </c>
      <c r="H1295">
        <v>750</v>
      </c>
      <c r="I1295" t="s">
        <v>22</v>
      </c>
      <c r="J1295" t="s">
        <v>22</v>
      </c>
    </row>
    <row r="1296" spans="1:10" x14ac:dyDescent="0.25">
      <c r="A1296" t="s">
        <v>1080</v>
      </c>
      <c r="B1296" t="s">
        <v>1081</v>
      </c>
      <c r="C1296">
        <v>0</v>
      </c>
      <c r="D1296" s="2">
        <v>17192</v>
      </c>
      <c r="E1296" s="2">
        <v>17845</v>
      </c>
      <c r="F1296" s="2">
        <v>62500</v>
      </c>
      <c r="G1296" s="2">
        <v>1293</v>
      </c>
      <c r="H1296">
        <v>0</v>
      </c>
      <c r="I1296" t="s">
        <v>22</v>
      </c>
      <c r="J1296" t="s">
        <v>22</v>
      </c>
    </row>
    <row r="1297" spans="1:10" x14ac:dyDescent="0.25">
      <c r="A1297" t="s">
        <v>1082</v>
      </c>
      <c r="B1297" t="s">
        <v>509</v>
      </c>
      <c r="C1297" s="2">
        <v>40156</v>
      </c>
      <c r="D1297" s="2">
        <v>74802</v>
      </c>
      <c r="E1297" s="2">
        <v>73829</v>
      </c>
      <c r="F1297" s="2">
        <v>98633</v>
      </c>
      <c r="G1297" s="2">
        <v>82623</v>
      </c>
      <c r="H1297" s="2">
        <v>1800</v>
      </c>
      <c r="I1297" t="s">
        <v>22</v>
      </c>
      <c r="J1297" t="s">
        <v>22</v>
      </c>
    </row>
    <row r="1298" spans="1:10" x14ac:dyDescent="0.25">
      <c r="A1298" t="s">
        <v>1083</v>
      </c>
      <c r="B1298" t="s">
        <v>521</v>
      </c>
      <c r="C1298">
        <v>0</v>
      </c>
      <c r="D1298">
        <v>0</v>
      </c>
      <c r="E1298" s="2">
        <v>6977</v>
      </c>
      <c r="F1298" s="2">
        <v>137252</v>
      </c>
      <c r="G1298">
        <v>0</v>
      </c>
      <c r="H1298">
        <v>0</v>
      </c>
      <c r="I1298" t="s">
        <v>22</v>
      </c>
      <c r="J1298" t="s">
        <v>22</v>
      </c>
    </row>
    <row r="1299" spans="1:10" x14ac:dyDescent="0.25">
      <c r="A1299" t="s">
        <v>1084</v>
      </c>
      <c r="B1299" t="s">
        <v>1085</v>
      </c>
      <c r="C1299">
        <v>115</v>
      </c>
      <c r="D1299">
        <v>75</v>
      </c>
      <c r="E1299">
        <v>0</v>
      </c>
      <c r="F1299">
        <v>0</v>
      </c>
      <c r="G1299">
        <v>0</v>
      </c>
      <c r="H1299">
        <v>220</v>
      </c>
      <c r="I1299" t="s">
        <v>22</v>
      </c>
      <c r="J1299" t="s">
        <v>22</v>
      </c>
    </row>
    <row r="1300" spans="1:10" x14ac:dyDescent="0.25">
      <c r="C1300" t="s">
        <v>108</v>
      </c>
      <c r="D1300" t="s">
        <v>108</v>
      </c>
      <c r="E1300" t="s">
        <v>108</v>
      </c>
      <c r="F1300" t="s">
        <v>108</v>
      </c>
      <c r="G1300" t="s">
        <v>108</v>
      </c>
    </row>
    <row r="1301" spans="1:10" x14ac:dyDescent="0.25">
      <c r="H1301" t="s">
        <v>22</v>
      </c>
      <c r="I1301" t="s">
        <v>22</v>
      </c>
      <c r="J1301" t="s">
        <v>22</v>
      </c>
    </row>
    <row r="1302" spans="1:10" x14ac:dyDescent="0.25">
      <c r="A1302" t="s">
        <v>109</v>
      </c>
    </row>
    <row r="1303" spans="1:10" x14ac:dyDescent="0.25">
      <c r="B1303" t="s">
        <v>501</v>
      </c>
      <c r="C1303" s="2">
        <v>140586</v>
      </c>
      <c r="D1303" s="2">
        <v>101143</v>
      </c>
      <c r="E1303" s="2">
        <v>115225</v>
      </c>
      <c r="F1303" s="2">
        <v>325527</v>
      </c>
      <c r="G1303" s="2">
        <v>116794</v>
      </c>
      <c r="H1303" s="2">
        <v>2870</v>
      </c>
    </row>
    <row r="1305" spans="1:10" x14ac:dyDescent="0.25">
      <c r="A1305" t="s">
        <v>524</v>
      </c>
      <c r="B1305" t="s">
        <v>525</v>
      </c>
    </row>
    <row r="1306" spans="1:10" x14ac:dyDescent="0.25">
      <c r="A1306" t="s">
        <v>18</v>
      </c>
      <c r="B1306" t="s">
        <v>526</v>
      </c>
    </row>
    <row r="1307" spans="1:10" x14ac:dyDescent="0.25">
      <c r="A1307" t="s">
        <v>1086</v>
      </c>
      <c r="B1307" t="s">
        <v>530</v>
      </c>
      <c r="C1307">
        <v>0</v>
      </c>
      <c r="D1307" s="2">
        <v>23986</v>
      </c>
      <c r="E1307">
        <v>0</v>
      </c>
      <c r="F1307">
        <v>0</v>
      </c>
      <c r="G1307">
        <v>0</v>
      </c>
      <c r="H1307">
        <v>0</v>
      </c>
      <c r="I1307" t="s">
        <v>22</v>
      </c>
      <c r="J1307" t="s">
        <v>22</v>
      </c>
    </row>
    <row r="1308" spans="1:10" x14ac:dyDescent="0.25">
      <c r="A1308" t="s">
        <v>1087</v>
      </c>
      <c r="B1308" t="s">
        <v>534</v>
      </c>
      <c r="C1308">
        <v>0</v>
      </c>
      <c r="D1308">
        <v>0</v>
      </c>
      <c r="E1308">
        <v>0</v>
      </c>
      <c r="F1308">
        <v>0</v>
      </c>
      <c r="G1308">
        <v>0</v>
      </c>
      <c r="H1308" s="2">
        <v>4000</v>
      </c>
      <c r="I1308" t="s">
        <v>22</v>
      </c>
      <c r="J1308" t="s">
        <v>22</v>
      </c>
    </row>
    <row r="1309" spans="1:10" x14ac:dyDescent="0.25">
      <c r="A1309" t="s">
        <v>1088</v>
      </c>
      <c r="B1309" t="s">
        <v>1089</v>
      </c>
      <c r="C1309">
        <v>0</v>
      </c>
      <c r="D1309">
        <v>0</v>
      </c>
      <c r="E1309">
        <v>0</v>
      </c>
      <c r="F1309">
        <v>0</v>
      </c>
      <c r="G1309">
        <v>0</v>
      </c>
      <c r="H1309" s="2">
        <v>1055</v>
      </c>
      <c r="I1309" t="s">
        <v>22</v>
      </c>
      <c r="J1309" t="s">
        <v>22</v>
      </c>
    </row>
    <row r="1310" spans="1:10" x14ac:dyDescent="0.25">
      <c r="A1310" t="s">
        <v>1090</v>
      </c>
      <c r="B1310" t="s">
        <v>1091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v>0</v>
      </c>
      <c r="I1310" t="s">
        <v>22</v>
      </c>
      <c r="J1310" t="s">
        <v>22</v>
      </c>
    </row>
    <row r="1311" spans="1:10" x14ac:dyDescent="0.25">
      <c r="A1311" t="s">
        <v>1092</v>
      </c>
      <c r="B1311" t="s">
        <v>1093</v>
      </c>
      <c r="C1311">
        <v>0</v>
      </c>
      <c r="D1311">
        <v>0</v>
      </c>
      <c r="E1311">
        <v>0</v>
      </c>
      <c r="F1311">
        <v>0</v>
      </c>
      <c r="G1311">
        <v>0</v>
      </c>
      <c r="H1311" s="2">
        <v>2000</v>
      </c>
      <c r="I1311" t="s">
        <v>22</v>
      </c>
      <c r="J1311" t="s">
        <v>22</v>
      </c>
    </row>
    <row r="1312" spans="1:10" x14ac:dyDescent="0.25">
      <c r="A1312" t="s">
        <v>1094</v>
      </c>
      <c r="B1312" t="s">
        <v>660</v>
      </c>
      <c r="C1312" s="2">
        <v>105285</v>
      </c>
      <c r="D1312" s="2">
        <v>228360</v>
      </c>
      <c r="E1312" s="2">
        <v>50335</v>
      </c>
      <c r="F1312" s="2">
        <v>120000</v>
      </c>
      <c r="G1312">
        <v>0</v>
      </c>
      <c r="H1312" s="2">
        <v>22000</v>
      </c>
      <c r="I1312" t="s">
        <v>22</v>
      </c>
      <c r="J1312" t="s">
        <v>22</v>
      </c>
    </row>
    <row r="1313" spans="1:10" x14ac:dyDescent="0.25">
      <c r="C1313" t="s">
        <v>108</v>
      </c>
      <c r="D1313" t="s">
        <v>108</v>
      </c>
      <c r="E1313" t="s">
        <v>108</v>
      </c>
      <c r="F1313" t="s">
        <v>108</v>
      </c>
      <c r="G1313" t="s">
        <v>108</v>
      </c>
    </row>
    <row r="1314" spans="1:10" x14ac:dyDescent="0.25">
      <c r="H1314" t="s">
        <v>22</v>
      </c>
      <c r="I1314" t="s">
        <v>22</v>
      </c>
      <c r="J1314" t="s">
        <v>22</v>
      </c>
    </row>
    <row r="1315" spans="1:10" x14ac:dyDescent="0.25">
      <c r="A1315" t="s">
        <v>109</v>
      </c>
    </row>
    <row r="1316" spans="1:10" x14ac:dyDescent="0.25">
      <c r="B1316" t="s">
        <v>530</v>
      </c>
      <c r="C1316" s="2">
        <v>105285</v>
      </c>
      <c r="D1316" s="2">
        <v>252346</v>
      </c>
      <c r="E1316" s="2">
        <v>50335</v>
      </c>
      <c r="F1316" s="2">
        <v>120000</v>
      </c>
      <c r="G1316">
        <v>0</v>
      </c>
      <c r="H1316" s="2">
        <v>29055</v>
      </c>
    </row>
    <row r="1317" spans="1:10" x14ac:dyDescent="0.25">
      <c r="A1317" t="s">
        <v>18</v>
      </c>
      <c r="B1317" t="s">
        <v>19</v>
      </c>
      <c r="C1317" t="s">
        <v>20</v>
      </c>
      <c r="D1317" t="s">
        <v>21</v>
      </c>
      <c r="E1317" t="s">
        <v>26</v>
      </c>
    </row>
    <row r="1318" spans="1:10" x14ac:dyDescent="0.25">
      <c r="E1318" t="s">
        <v>339</v>
      </c>
      <c r="F1318" t="s">
        <v>23</v>
      </c>
      <c r="G1318" t="s">
        <v>24</v>
      </c>
      <c r="H1318" t="s">
        <v>20</v>
      </c>
      <c r="I1318" t="s">
        <v>24</v>
      </c>
      <c r="J1318" t="s">
        <v>20</v>
      </c>
    </row>
    <row r="1319" spans="1:10" x14ac:dyDescent="0.25">
      <c r="A1319" t="s">
        <v>109</v>
      </c>
    </row>
    <row r="1320" spans="1:10" x14ac:dyDescent="0.25">
      <c r="A1320">
        <v>20</v>
      </c>
      <c r="B1320" t="e">
        <f>-POLICE DEPARTMENT</f>
        <v>#NAME?</v>
      </c>
      <c r="C1320" s="2">
        <v>2206654</v>
      </c>
      <c r="D1320" s="2">
        <v>2833631</v>
      </c>
      <c r="E1320" s="2">
        <v>3028028</v>
      </c>
      <c r="F1320" s="2">
        <v>3755883</v>
      </c>
      <c r="G1320" s="2">
        <v>2156280</v>
      </c>
      <c r="H1320" s="2">
        <v>431380</v>
      </c>
    </row>
    <row r="1321" spans="1:10" x14ac:dyDescent="0.25">
      <c r="A1321" t="s">
        <v>110</v>
      </c>
    </row>
    <row r="1322" spans="1:10" x14ac:dyDescent="0.25">
      <c r="A1322" s="1">
        <v>43991</v>
      </c>
      <c r="B1322" t="s">
        <v>111</v>
      </c>
      <c r="D1322" t="s">
        <v>112</v>
      </c>
      <c r="E1322" t="s">
        <v>113</v>
      </c>
      <c r="F1322" t="s">
        <v>114</v>
      </c>
      <c r="J1322" t="s">
        <v>1095</v>
      </c>
    </row>
    <row r="1323" spans="1:10" x14ac:dyDescent="0.25">
      <c r="D1323" t="s">
        <v>116</v>
      </c>
      <c r="E1323" t="s">
        <v>117</v>
      </c>
      <c r="F1323" t="s">
        <v>118</v>
      </c>
    </row>
    <row r="1324" spans="1:10" x14ac:dyDescent="0.25">
      <c r="D1324" t="s">
        <v>119</v>
      </c>
      <c r="E1324" t="s">
        <v>120</v>
      </c>
      <c r="F1324" t="s">
        <v>121</v>
      </c>
    </row>
    <row r="1325" spans="1:10" x14ac:dyDescent="0.25">
      <c r="A1325" t="s">
        <v>122</v>
      </c>
      <c r="B1325" t="s">
        <v>123</v>
      </c>
    </row>
    <row r="1326" spans="1:10" x14ac:dyDescent="0.25">
      <c r="A1326" t="s">
        <v>386</v>
      </c>
    </row>
    <row r="1327" spans="1:10" x14ac:dyDescent="0.25">
      <c r="F1327" t="s">
        <v>2</v>
      </c>
      <c r="G1327" t="s">
        <v>3</v>
      </c>
      <c r="H1327" t="s">
        <v>4</v>
      </c>
      <c r="I1327" t="s">
        <v>5</v>
      </c>
      <c r="J1327" t="s">
        <v>6</v>
      </c>
    </row>
    <row r="1328" spans="1:10" x14ac:dyDescent="0.25">
      <c r="C1328" t="s">
        <v>7</v>
      </c>
      <c r="D1328" t="s">
        <v>8</v>
      </c>
      <c r="E1328" t="s">
        <v>9</v>
      </c>
      <c r="F1328" t="s">
        <v>10</v>
      </c>
      <c r="G1328" t="s">
        <v>124</v>
      </c>
      <c r="H1328" t="s">
        <v>12</v>
      </c>
      <c r="I1328" t="s">
        <v>13</v>
      </c>
      <c r="J1328" t="s">
        <v>14</v>
      </c>
    </row>
    <row r="1329" spans="1:10" x14ac:dyDescent="0.25">
      <c r="C1329" t="s">
        <v>15</v>
      </c>
      <c r="D1329" t="s">
        <v>15</v>
      </c>
      <c r="E1329" t="s">
        <v>15</v>
      </c>
      <c r="F1329" t="s">
        <v>16</v>
      </c>
      <c r="G1329" t="s">
        <v>15</v>
      </c>
      <c r="H1329" t="s">
        <v>17</v>
      </c>
      <c r="I1329" t="s">
        <v>16</v>
      </c>
      <c r="J1329" t="s">
        <v>16</v>
      </c>
    </row>
    <row r="1330" spans="1:10" x14ac:dyDescent="0.25">
      <c r="A1330" t="s">
        <v>18</v>
      </c>
      <c r="B1330" t="s">
        <v>19</v>
      </c>
      <c r="C1330" t="s">
        <v>20</v>
      </c>
      <c r="D1330" t="s">
        <v>21</v>
      </c>
      <c r="E1330" t="s">
        <v>22</v>
      </c>
      <c r="F1330" t="s">
        <v>23</v>
      </c>
      <c r="G1330" t="s">
        <v>24</v>
      </c>
      <c r="H1330" t="s">
        <v>20</v>
      </c>
      <c r="I1330" t="s">
        <v>24</v>
      </c>
      <c r="J1330" t="s">
        <v>20</v>
      </c>
    </row>
    <row r="1332" spans="1:10" x14ac:dyDescent="0.25">
      <c r="A1332" t="s">
        <v>1096</v>
      </c>
      <c r="B1332" t="s">
        <v>1097</v>
      </c>
    </row>
    <row r="1333" spans="1:10" x14ac:dyDescent="0.25">
      <c r="A1333" t="s">
        <v>389</v>
      </c>
      <c r="B1333" t="s">
        <v>538</v>
      </c>
    </row>
    <row r="1335" spans="1:10" x14ac:dyDescent="0.25">
      <c r="A1335" t="s">
        <v>391</v>
      </c>
      <c r="B1335" t="s">
        <v>392</v>
      </c>
    </row>
    <row r="1336" spans="1:10" x14ac:dyDescent="0.25">
      <c r="A1336" t="s">
        <v>18</v>
      </c>
      <c r="B1336" t="s">
        <v>228</v>
      </c>
    </row>
    <row r="1337" spans="1:10" x14ac:dyDescent="0.25">
      <c r="A1337" t="s">
        <v>1098</v>
      </c>
      <c r="B1337" t="s">
        <v>569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0</v>
      </c>
      <c r="I1337" t="s">
        <v>22</v>
      </c>
      <c r="J1337" t="s">
        <v>22</v>
      </c>
    </row>
    <row r="1338" spans="1:10" x14ac:dyDescent="0.25">
      <c r="A1338" t="s">
        <v>1099</v>
      </c>
      <c r="B1338" t="s">
        <v>396</v>
      </c>
      <c r="C1338">
        <v>0</v>
      </c>
      <c r="D1338">
        <v>0</v>
      </c>
      <c r="E1338">
        <v>0</v>
      </c>
      <c r="F1338">
        <v>504</v>
      </c>
      <c r="G1338">
        <v>0</v>
      </c>
      <c r="H1338">
        <v>0</v>
      </c>
      <c r="I1338" t="s">
        <v>22</v>
      </c>
      <c r="J1338" t="s">
        <v>22</v>
      </c>
    </row>
    <row r="1339" spans="1:10" x14ac:dyDescent="0.25">
      <c r="A1339" t="s">
        <v>1100</v>
      </c>
      <c r="B1339" t="s">
        <v>398</v>
      </c>
      <c r="C1339">
        <v>0</v>
      </c>
      <c r="D1339">
        <v>0</v>
      </c>
      <c r="E1339">
        <v>0</v>
      </c>
      <c r="F1339" s="2">
        <v>8696</v>
      </c>
      <c r="G1339" s="2">
        <v>5275</v>
      </c>
      <c r="H1339">
        <v>0</v>
      </c>
      <c r="I1339" t="s">
        <v>22</v>
      </c>
      <c r="J1339" t="s">
        <v>22</v>
      </c>
    </row>
    <row r="1340" spans="1:10" x14ac:dyDescent="0.25">
      <c r="A1340" t="s">
        <v>1101</v>
      </c>
      <c r="B1340" t="s">
        <v>400</v>
      </c>
      <c r="C1340">
        <v>0</v>
      </c>
      <c r="D1340">
        <v>0</v>
      </c>
      <c r="E1340">
        <v>0</v>
      </c>
      <c r="F1340" s="2">
        <v>10788</v>
      </c>
      <c r="G1340" s="2">
        <v>5676</v>
      </c>
      <c r="H1340">
        <v>0</v>
      </c>
      <c r="I1340" t="s">
        <v>22</v>
      </c>
      <c r="J1340" t="s">
        <v>22</v>
      </c>
    </row>
    <row r="1341" spans="1:10" x14ac:dyDescent="0.25">
      <c r="A1341" t="s">
        <v>1102</v>
      </c>
      <c r="B1341" t="s">
        <v>574</v>
      </c>
      <c r="C1341">
        <v>0</v>
      </c>
      <c r="D1341">
        <v>0</v>
      </c>
      <c r="E1341">
        <v>0</v>
      </c>
      <c r="F1341" s="2">
        <v>41144</v>
      </c>
      <c r="G1341" s="2">
        <v>11655</v>
      </c>
      <c r="H1341">
        <v>0</v>
      </c>
      <c r="I1341" t="s">
        <v>22</v>
      </c>
      <c r="J1341" t="s">
        <v>22</v>
      </c>
    </row>
    <row r="1342" spans="1:10" x14ac:dyDescent="0.25">
      <c r="A1342" t="s">
        <v>1103</v>
      </c>
      <c r="B1342" t="s">
        <v>404</v>
      </c>
      <c r="C1342">
        <v>0</v>
      </c>
      <c r="D1342">
        <v>0</v>
      </c>
      <c r="E1342">
        <v>0</v>
      </c>
      <c r="F1342" s="2">
        <v>1308</v>
      </c>
      <c r="G1342">
        <v>688</v>
      </c>
      <c r="H1342">
        <v>0</v>
      </c>
      <c r="I1342" t="s">
        <v>22</v>
      </c>
      <c r="J1342" t="s">
        <v>22</v>
      </c>
    </row>
    <row r="1343" spans="1:10" x14ac:dyDescent="0.25">
      <c r="A1343" t="s">
        <v>1104</v>
      </c>
      <c r="B1343" t="s">
        <v>406</v>
      </c>
      <c r="C1343">
        <v>0</v>
      </c>
      <c r="D1343">
        <v>0</v>
      </c>
      <c r="E1343">
        <v>0</v>
      </c>
      <c r="F1343">
        <v>0</v>
      </c>
      <c r="G1343">
        <v>770</v>
      </c>
      <c r="H1343">
        <v>0</v>
      </c>
      <c r="I1343" t="s">
        <v>22</v>
      </c>
      <c r="J1343" t="s">
        <v>22</v>
      </c>
    </row>
    <row r="1344" spans="1:10" x14ac:dyDescent="0.25">
      <c r="A1344" t="s">
        <v>1105</v>
      </c>
      <c r="B1344" t="s">
        <v>424</v>
      </c>
      <c r="C1344">
        <v>0</v>
      </c>
      <c r="D1344">
        <v>0</v>
      </c>
      <c r="E1344">
        <v>0</v>
      </c>
      <c r="F1344">
        <v>69</v>
      </c>
      <c r="G1344">
        <v>104</v>
      </c>
      <c r="H1344">
        <v>0</v>
      </c>
      <c r="I1344" t="s">
        <v>22</v>
      </c>
      <c r="J1344" t="s">
        <v>22</v>
      </c>
    </row>
    <row r="1345" spans="1:10" x14ac:dyDescent="0.25">
      <c r="A1345" t="s">
        <v>1106</v>
      </c>
      <c r="B1345" t="s">
        <v>426</v>
      </c>
      <c r="C1345">
        <v>0</v>
      </c>
      <c r="D1345">
        <v>0</v>
      </c>
      <c r="E1345">
        <v>0</v>
      </c>
      <c r="F1345">
        <v>810</v>
      </c>
      <c r="G1345">
        <v>830</v>
      </c>
      <c r="H1345">
        <v>0</v>
      </c>
      <c r="I1345" t="s">
        <v>22</v>
      </c>
      <c r="J1345" t="s">
        <v>22</v>
      </c>
    </row>
    <row r="1346" spans="1:10" x14ac:dyDescent="0.25">
      <c r="A1346" t="s">
        <v>1107</v>
      </c>
      <c r="B1346" t="s">
        <v>598</v>
      </c>
      <c r="C1346">
        <v>0</v>
      </c>
      <c r="D1346">
        <v>0</v>
      </c>
      <c r="E1346">
        <v>0</v>
      </c>
      <c r="F1346" s="2">
        <v>2200</v>
      </c>
      <c r="G1346" s="2">
        <v>1200</v>
      </c>
      <c r="H1346">
        <v>0</v>
      </c>
      <c r="I1346" t="s">
        <v>22</v>
      </c>
      <c r="J1346" t="s">
        <v>22</v>
      </c>
    </row>
    <row r="1347" spans="1:10" x14ac:dyDescent="0.25">
      <c r="A1347" t="s">
        <v>1108</v>
      </c>
      <c r="B1347" t="s">
        <v>428</v>
      </c>
      <c r="C1347">
        <v>0</v>
      </c>
      <c r="D1347">
        <v>0</v>
      </c>
      <c r="E1347">
        <v>0</v>
      </c>
      <c r="F1347">
        <v>0</v>
      </c>
      <c r="G1347">
        <v>0</v>
      </c>
      <c r="H1347">
        <v>0</v>
      </c>
      <c r="I1347" t="s">
        <v>22</v>
      </c>
      <c r="J1347" t="s">
        <v>22</v>
      </c>
    </row>
    <row r="1348" spans="1:10" x14ac:dyDescent="0.25">
      <c r="A1348" t="s">
        <v>1109</v>
      </c>
      <c r="B1348" t="s">
        <v>430</v>
      </c>
      <c r="C1348">
        <v>0</v>
      </c>
      <c r="D1348">
        <v>0</v>
      </c>
      <c r="E1348">
        <v>0</v>
      </c>
      <c r="F1348">
        <v>69</v>
      </c>
      <c r="G1348">
        <v>69</v>
      </c>
      <c r="H1348">
        <v>0</v>
      </c>
      <c r="I1348" t="s">
        <v>22</v>
      </c>
      <c r="J1348" t="s">
        <v>22</v>
      </c>
    </row>
    <row r="1349" spans="1:10" x14ac:dyDescent="0.25">
      <c r="A1349" t="s">
        <v>1110</v>
      </c>
      <c r="B1349" t="s">
        <v>592</v>
      </c>
      <c r="C1349">
        <v>0</v>
      </c>
      <c r="D1349">
        <v>0</v>
      </c>
      <c r="E1349">
        <v>0</v>
      </c>
      <c r="F1349" s="2">
        <v>110526</v>
      </c>
      <c r="G1349" s="2">
        <v>66813</v>
      </c>
      <c r="H1349">
        <v>0</v>
      </c>
      <c r="I1349" t="s">
        <v>22</v>
      </c>
      <c r="J1349" t="s">
        <v>22</v>
      </c>
    </row>
    <row r="1350" spans="1:10" x14ac:dyDescent="0.25">
      <c r="A1350" t="s">
        <v>1111</v>
      </c>
      <c r="B1350" t="s">
        <v>1013</v>
      </c>
      <c r="C1350">
        <v>0</v>
      </c>
      <c r="D1350">
        <v>0</v>
      </c>
      <c r="E1350">
        <v>0</v>
      </c>
      <c r="F1350">
        <v>0</v>
      </c>
      <c r="G1350">
        <v>0</v>
      </c>
      <c r="H1350">
        <v>0</v>
      </c>
      <c r="I1350" t="s">
        <v>22</v>
      </c>
      <c r="J1350" t="s">
        <v>22</v>
      </c>
    </row>
    <row r="1351" spans="1:10" x14ac:dyDescent="0.25">
      <c r="A1351" t="s">
        <v>1112</v>
      </c>
      <c r="B1351" t="s">
        <v>432</v>
      </c>
      <c r="C1351">
        <v>0</v>
      </c>
      <c r="D1351">
        <v>0</v>
      </c>
      <c r="E1351">
        <v>0</v>
      </c>
      <c r="F1351">
        <v>0</v>
      </c>
      <c r="G1351" s="2">
        <v>1043</v>
      </c>
      <c r="H1351">
        <v>0</v>
      </c>
      <c r="I1351" t="s">
        <v>22</v>
      </c>
      <c r="J1351" t="s">
        <v>22</v>
      </c>
    </row>
    <row r="1352" spans="1:10" x14ac:dyDescent="0.25">
      <c r="A1352" t="s">
        <v>1113</v>
      </c>
      <c r="B1352" t="s">
        <v>434</v>
      </c>
      <c r="C1352">
        <v>0</v>
      </c>
      <c r="D1352">
        <v>0</v>
      </c>
      <c r="E1352">
        <v>0</v>
      </c>
      <c r="F1352">
        <v>0</v>
      </c>
      <c r="G1352">
        <v>0</v>
      </c>
      <c r="H1352">
        <v>0</v>
      </c>
      <c r="I1352" t="s">
        <v>22</v>
      </c>
      <c r="J1352" t="s">
        <v>22</v>
      </c>
    </row>
    <row r="1353" spans="1:10" x14ac:dyDescent="0.25">
      <c r="A1353" t="s">
        <v>1114</v>
      </c>
      <c r="B1353" t="s">
        <v>436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 t="s">
        <v>22</v>
      </c>
      <c r="J1353" t="s">
        <v>22</v>
      </c>
    </row>
    <row r="1354" spans="1:10" x14ac:dyDescent="0.25">
      <c r="A1354" t="s">
        <v>1115</v>
      </c>
      <c r="B1354" t="s">
        <v>1020</v>
      </c>
      <c r="C1354">
        <v>0</v>
      </c>
      <c r="D1354">
        <v>0</v>
      </c>
      <c r="E1354">
        <v>0</v>
      </c>
      <c r="F1354">
        <v>0</v>
      </c>
      <c r="G1354">
        <v>365</v>
      </c>
      <c r="H1354">
        <v>0</v>
      </c>
      <c r="I1354" t="s">
        <v>22</v>
      </c>
      <c r="J1354" t="s">
        <v>22</v>
      </c>
    </row>
    <row r="1355" spans="1:10" x14ac:dyDescent="0.25">
      <c r="C1355" t="s">
        <v>108</v>
      </c>
      <c r="D1355" t="s">
        <v>108</v>
      </c>
      <c r="E1355" t="s">
        <v>108</v>
      </c>
      <c r="F1355" t="s">
        <v>108</v>
      </c>
      <c r="G1355" t="s">
        <v>108</v>
      </c>
    </row>
    <row r="1356" spans="1:10" x14ac:dyDescent="0.25">
      <c r="H1356" t="s">
        <v>22</v>
      </c>
      <c r="I1356" t="s">
        <v>22</v>
      </c>
      <c r="J1356" t="s">
        <v>22</v>
      </c>
    </row>
    <row r="1357" spans="1:10" x14ac:dyDescent="0.25">
      <c r="A1357" t="s">
        <v>109</v>
      </c>
    </row>
    <row r="1358" spans="1:10" x14ac:dyDescent="0.25">
      <c r="B1358" t="s">
        <v>441</v>
      </c>
      <c r="C1358">
        <v>0</v>
      </c>
      <c r="D1358">
        <v>0</v>
      </c>
      <c r="E1358">
        <v>0</v>
      </c>
      <c r="F1358" s="2">
        <v>176114</v>
      </c>
      <c r="G1358" s="2">
        <v>94489</v>
      </c>
      <c r="H1358">
        <v>0</v>
      </c>
    </row>
    <row r="1360" spans="1:10" x14ac:dyDescent="0.25">
      <c r="A1360" t="s">
        <v>442</v>
      </c>
      <c r="B1360" t="s">
        <v>443</v>
      </c>
    </row>
    <row r="1361" spans="1:10" x14ac:dyDescent="0.25">
      <c r="A1361" t="s">
        <v>18</v>
      </c>
      <c r="B1361" t="s">
        <v>21</v>
      </c>
    </row>
    <row r="1362" spans="1:10" x14ac:dyDescent="0.25">
      <c r="A1362" t="s">
        <v>1116</v>
      </c>
      <c r="B1362" t="s">
        <v>445</v>
      </c>
      <c r="C1362">
        <v>0</v>
      </c>
      <c r="D1362">
        <v>0</v>
      </c>
      <c r="E1362">
        <v>0</v>
      </c>
      <c r="F1362">
        <v>0</v>
      </c>
      <c r="G1362">
        <v>0</v>
      </c>
      <c r="H1362">
        <v>0</v>
      </c>
      <c r="I1362" t="s">
        <v>22</v>
      </c>
      <c r="J1362" t="s">
        <v>22</v>
      </c>
    </row>
    <row r="1363" spans="1:10" x14ac:dyDescent="0.25">
      <c r="A1363" t="s">
        <v>1117</v>
      </c>
      <c r="B1363" t="s">
        <v>447</v>
      </c>
      <c r="C1363">
        <v>0</v>
      </c>
      <c r="D1363">
        <v>0</v>
      </c>
      <c r="E1363">
        <v>0</v>
      </c>
      <c r="F1363">
        <v>0</v>
      </c>
      <c r="G1363">
        <v>0</v>
      </c>
      <c r="H1363">
        <v>0</v>
      </c>
      <c r="I1363" t="s">
        <v>22</v>
      </c>
      <c r="J1363" t="s">
        <v>22</v>
      </c>
    </row>
    <row r="1364" spans="1:10" x14ac:dyDescent="0.25">
      <c r="A1364" t="s">
        <v>1118</v>
      </c>
      <c r="B1364" t="s">
        <v>449</v>
      </c>
      <c r="C1364">
        <v>0</v>
      </c>
      <c r="D1364">
        <v>0</v>
      </c>
      <c r="E1364">
        <v>0</v>
      </c>
      <c r="F1364" s="2">
        <v>2000</v>
      </c>
      <c r="G1364">
        <v>556</v>
      </c>
      <c r="H1364">
        <v>0</v>
      </c>
      <c r="I1364" t="s">
        <v>22</v>
      </c>
      <c r="J1364" t="s">
        <v>22</v>
      </c>
    </row>
    <row r="1365" spans="1:10" x14ac:dyDescent="0.25">
      <c r="A1365" t="s">
        <v>1119</v>
      </c>
      <c r="B1365" t="s">
        <v>451</v>
      </c>
      <c r="C1365">
        <v>0</v>
      </c>
      <c r="D1365">
        <v>0</v>
      </c>
      <c r="E1365">
        <v>0</v>
      </c>
      <c r="F1365" s="2">
        <v>3000</v>
      </c>
      <c r="G1365" s="2">
        <v>1200</v>
      </c>
      <c r="H1365">
        <v>0</v>
      </c>
      <c r="I1365" t="s">
        <v>22</v>
      </c>
      <c r="J1365" t="s">
        <v>22</v>
      </c>
    </row>
    <row r="1366" spans="1:10" x14ac:dyDescent="0.25">
      <c r="A1366" t="s">
        <v>1120</v>
      </c>
      <c r="B1366" t="s">
        <v>457</v>
      </c>
      <c r="C1366">
        <v>0</v>
      </c>
      <c r="D1366">
        <v>0</v>
      </c>
      <c r="E1366">
        <v>0</v>
      </c>
      <c r="F1366">
        <v>0</v>
      </c>
      <c r="G1366">
        <v>0</v>
      </c>
      <c r="H1366">
        <v>0</v>
      </c>
      <c r="I1366" t="s">
        <v>22</v>
      </c>
      <c r="J1366" t="s">
        <v>22</v>
      </c>
    </row>
    <row r="1367" spans="1:10" x14ac:dyDescent="0.25">
      <c r="A1367" t="s">
        <v>1121</v>
      </c>
      <c r="B1367" t="s">
        <v>461</v>
      </c>
      <c r="C1367">
        <v>0</v>
      </c>
      <c r="D1367">
        <v>0</v>
      </c>
      <c r="E1367">
        <v>0</v>
      </c>
      <c r="F1367">
        <v>0</v>
      </c>
      <c r="G1367">
        <v>0</v>
      </c>
      <c r="H1367">
        <v>0</v>
      </c>
      <c r="I1367" t="s">
        <v>22</v>
      </c>
      <c r="J1367" t="s">
        <v>22</v>
      </c>
    </row>
    <row r="1368" spans="1:10" x14ac:dyDescent="0.25">
      <c r="A1368" t="s">
        <v>1122</v>
      </c>
      <c r="B1368" t="s">
        <v>465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0</v>
      </c>
      <c r="I1368" t="s">
        <v>22</v>
      </c>
      <c r="J1368" t="s">
        <v>22</v>
      </c>
    </row>
    <row r="1369" spans="1:10" x14ac:dyDescent="0.25">
      <c r="A1369" t="s">
        <v>1123</v>
      </c>
      <c r="B1369" t="s">
        <v>471</v>
      </c>
      <c r="C1369">
        <v>0</v>
      </c>
      <c r="D1369">
        <v>0</v>
      </c>
      <c r="E1369">
        <v>0</v>
      </c>
      <c r="F1369" s="2">
        <v>1100</v>
      </c>
      <c r="G1369">
        <v>0</v>
      </c>
      <c r="H1369">
        <v>0</v>
      </c>
      <c r="I1369" t="s">
        <v>22</v>
      </c>
      <c r="J1369" t="s">
        <v>22</v>
      </c>
    </row>
    <row r="1370" spans="1:10" x14ac:dyDescent="0.25">
      <c r="A1370" t="s">
        <v>1124</v>
      </c>
      <c r="B1370" t="s">
        <v>473</v>
      </c>
      <c r="C1370">
        <v>0</v>
      </c>
      <c r="D1370">
        <v>0</v>
      </c>
      <c r="E1370">
        <v>0</v>
      </c>
      <c r="F1370">
        <v>0</v>
      </c>
      <c r="G1370">
        <v>0</v>
      </c>
      <c r="H1370">
        <v>0</v>
      </c>
      <c r="I1370" t="s">
        <v>22</v>
      </c>
      <c r="J1370" t="s">
        <v>22</v>
      </c>
    </row>
    <row r="1371" spans="1:10" x14ac:dyDescent="0.25">
      <c r="A1371" t="s">
        <v>1125</v>
      </c>
      <c r="B1371" t="s">
        <v>626</v>
      </c>
      <c r="C1371">
        <v>0</v>
      </c>
      <c r="D1371">
        <v>0</v>
      </c>
      <c r="E1371">
        <v>0</v>
      </c>
      <c r="F1371" s="2">
        <v>3000</v>
      </c>
      <c r="G1371">
        <v>695</v>
      </c>
      <c r="H1371">
        <v>0</v>
      </c>
      <c r="I1371" t="s">
        <v>22</v>
      </c>
      <c r="J1371" t="s">
        <v>22</v>
      </c>
    </row>
    <row r="1372" spans="1:10" x14ac:dyDescent="0.25">
      <c r="A1372" t="s">
        <v>1126</v>
      </c>
      <c r="B1372" t="s">
        <v>1055</v>
      </c>
      <c r="C1372">
        <v>0</v>
      </c>
      <c r="D1372">
        <v>0</v>
      </c>
      <c r="E1372">
        <v>0</v>
      </c>
      <c r="F1372" s="2">
        <v>10000</v>
      </c>
      <c r="G1372" s="2">
        <v>5078</v>
      </c>
      <c r="H1372">
        <v>0</v>
      </c>
      <c r="I1372" t="s">
        <v>22</v>
      </c>
      <c r="J1372" t="s">
        <v>22</v>
      </c>
    </row>
    <row r="1373" spans="1:10" x14ac:dyDescent="0.25">
      <c r="A1373" t="s">
        <v>1127</v>
      </c>
      <c r="B1373" t="s">
        <v>475</v>
      </c>
      <c r="C1373">
        <v>0</v>
      </c>
      <c r="D1373">
        <v>0</v>
      </c>
      <c r="E1373">
        <v>0</v>
      </c>
      <c r="F1373">
        <v>0</v>
      </c>
      <c r="G1373">
        <v>0</v>
      </c>
      <c r="H1373">
        <v>0</v>
      </c>
      <c r="I1373" t="s">
        <v>22</v>
      </c>
      <c r="J1373" t="s">
        <v>22</v>
      </c>
    </row>
    <row r="1374" spans="1:10" x14ac:dyDescent="0.25">
      <c r="A1374" t="s">
        <v>1128</v>
      </c>
      <c r="B1374" t="s">
        <v>1060</v>
      </c>
      <c r="C1374">
        <v>0</v>
      </c>
      <c r="D1374">
        <v>0</v>
      </c>
      <c r="E1374">
        <v>0</v>
      </c>
      <c r="F1374">
        <v>0</v>
      </c>
      <c r="G1374">
        <v>0</v>
      </c>
      <c r="H1374">
        <v>0</v>
      </c>
      <c r="I1374" t="s">
        <v>22</v>
      </c>
      <c r="J1374" t="s">
        <v>22</v>
      </c>
    </row>
    <row r="1375" spans="1:10" x14ac:dyDescent="0.25">
      <c r="A1375" t="s">
        <v>1129</v>
      </c>
      <c r="B1375" t="s">
        <v>477</v>
      </c>
      <c r="C1375">
        <v>0</v>
      </c>
      <c r="D1375">
        <v>0</v>
      </c>
      <c r="E1375">
        <v>0</v>
      </c>
      <c r="F1375">
        <v>0</v>
      </c>
      <c r="G1375">
        <v>0</v>
      </c>
      <c r="H1375">
        <v>0</v>
      </c>
      <c r="I1375" t="s">
        <v>22</v>
      </c>
      <c r="J1375" t="s">
        <v>22</v>
      </c>
    </row>
    <row r="1376" spans="1:10" x14ac:dyDescent="0.25">
      <c r="C1376" t="s">
        <v>108</v>
      </c>
      <c r="D1376" t="s">
        <v>108</v>
      </c>
      <c r="E1376" t="s">
        <v>108</v>
      </c>
      <c r="F1376" t="s">
        <v>108</v>
      </c>
      <c r="G1376" t="s">
        <v>108</v>
      </c>
    </row>
    <row r="1377" spans="1:10" x14ac:dyDescent="0.25">
      <c r="H1377" t="s">
        <v>22</v>
      </c>
      <c r="I1377" t="s">
        <v>22</v>
      </c>
      <c r="J1377" t="s">
        <v>22</v>
      </c>
    </row>
    <row r="1378" spans="1:10" x14ac:dyDescent="0.25">
      <c r="A1378" t="s">
        <v>109</v>
      </c>
    </row>
    <row r="1379" spans="1:10" x14ac:dyDescent="0.25">
      <c r="B1379" t="s">
        <v>478</v>
      </c>
      <c r="C1379">
        <v>0</v>
      </c>
      <c r="D1379">
        <v>0</v>
      </c>
      <c r="E1379">
        <v>0</v>
      </c>
      <c r="F1379" s="2">
        <v>19100</v>
      </c>
      <c r="G1379" s="2">
        <v>7529</v>
      </c>
      <c r="H1379">
        <v>0</v>
      </c>
    </row>
    <row r="1381" spans="1:10" x14ac:dyDescent="0.25">
      <c r="A1381" t="s">
        <v>489</v>
      </c>
    </row>
    <row r="1382" spans="1:10" x14ac:dyDescent="0.25">
      <c r="A1382" t="s">
        <v>18</v>
      </c>
    </row>
    <row r="1383" spans="1:10" x14ac:dyDescent="0.25">
      <c r="A1383" t="s">
        <v>1130</v>
      </c>
      <c r="B1383" t="s">
        <v>493</v>
      </c>
      <c r="C1383">
        <v>0</v>
      </c>
      <c r="D1383">
        <v>0</v>
      </c>
      <c r="E1383">
        <v>0</v>
      </c>
      <c r="F1383" s="2">
        <v>1000</v>
      </c>
      <c r="G1383">
        <v>190</v>
      </c>
      <c r="H1383">
        <v>0</v>
      </c>
      <c r="I1383" t="s">
        <v>22</v>
      </c>
      <c r="J1383" t="s">
        <v>22</v>
      </c>
    </row>
    <row r="1384" spans="1:10" x14ac:dyDescent="0.25">
      <c r="A1384" t="s">
        <v>1131</v>
      </c>
      <c r="B1384" t="s">
        <v>489</v>
      </c>
      <c r="C1384">
        <v>0</v>
      </c>
      <c r="D1384">
        <v>0</v>
      </c>
      <c r="E1384">
        <v>0</v>
      </c>
      <c r="F1384">
        <v>500</v>
      </c>
      <c r="G1384" s="2">
        <v>1179</v>
      </c>
      <c r="H1384">
        <v>0</v>
      </c>
      <c r="I1384" t="s">
        <v>22</v>
      </c>
      <c r="J1384" t="s">
        <v>22</v>
      </c>
    </row>
    <row r="1385" spans="1:10" x14ac:dyDescent="0.25">
      <c r="A1385" t="s">
        <v>1132</v>
      </c>
      <c r="B1385" t="s">
        <v>496</v>
      </c>
      <c r="C1385">
        <v>0</v>
      </c>
      <c r="D1385">
        <v>0</v>
      </c>
      <c r="E1385">
        <v>0</v>
      </c>
      <c r="F1385" s="2">
        <v>2000</v>
      </c>
      <c r="G1385" s="2">
        <v>1507</v>
      </c>
      <c r="H1385">
        <v>0</v>
      </c>
      <c r="I1385" t="s">
        <v>22</v>
      </c>
      <c r="J1385" t="s">
        <v>22</v>
      </c>
    </row>
    <row r="1386" spans="1:10" x14ac:dyDescent="0.25">
      <c r="C1386" t="s">
        <v>108</v>
      </c>
      <c r="D1386" t="s">
        <v>108</v>
      </c>
      <c r="E1386" t="s">
        <v>108</v>
      </c>
      <c r="F1386" t="s">
        <v>108</v>
      </c>
      <c r="G1386" t="s">
        <v>108</v>
      </c>
    </row>
    <row r="1387" spans="1:10" x14ac:dyDescent="0.25">
      <c r="H1387" t="s">
        <v>22</v>
      </c>
      <c r="I1387" t="s">
        <v>22</v>
      </c>
      <c r="J1387" t="s">
        <v>22</v>
      </c>
    </row>
    <row r="1388" spans="1:10" x14ac:dyDescent="0.25">
      <c r="A1388" t="s">
        <v>109</v>
      </c>
    </row>
    <row r="1389" spans="1:10" x14ac:dyDescent="0.25">
      <c r="B1389" t="s">
        <v>489</v>
      </c>
      <c r="C1389">
        <v>0</v>
      </c>
      <c r="D1389">
        <v>0</v>
      </c>
      <c r="E1389">
        <v>0</v>
      </c>
      <c r="F1389" s="2">
        <v>3500</v>
      </c>
      <c r="G1389" s="2">
        <v>2876</v>
      </c>
      <c r="H1389">
        <v>0</v>
      </c>
    </row>
    <row r="1390" spans="1:10" x14ac:dyDescent="0.25">
      <c r="A1390" t="s">
        <v>110</v>
      </c>
    </row>
    <row r="1391" spans="1:10" x14ac:dyDescent="0.25">
      <c r="A1391" s="1">
        <v>43991</v>
      </c>
      <c r="B1391" t="s">
        <v>111</v>
      </c>
      <c r="D1391" t="s">
        <v>112</v>
      </c>
      <c r="E1391" t="s">
        <v>113</v>
      </c>
      <c r="F1391" t="s">
        <v>114</v>
      </c>
      <c r="J1391" t="s">
        <v>1133</v>
      </c>
    </row>
    <row r="1392" spans="1:10" x14ac:dyDescent="0.25">
      <c r="D1392" t="s">
        <v>116</v>
      </c>
      <c r="E1392" t="s">
        <v>117</v>
      </c>
      <c r="F1392" t="s">
        <v>118</v>
      </c>
    </row>
    <row r="1393" spans="1:10" x14ac:dyDescent="0.25">
      <c r="D1393" t="s">
        <v>119</v>
      </c>
      <c r="E1393" t="s">
        <v>120</v>
      </c>
      <c r="F1393" t="s">
        <v>121</v>
      </c>
    </row>
    <row r="1394" spans="1:10" x14ac:dyDescent="0.25">
      <c r="A1394" t="s">
        <v>122</v>
      </c>
      <c r="B1394" t="s">
        <v>123</v>
      </c>
    </row>
    <row r="1395" spans="1:10" x14ac:dyDescent="0.25">
      <c r="A1395" t="s">
        <v>386</v>
      </c>
    </row>
    <row r="1396" spans="1:10" x14ac:dyDescent="0.25">
      <c r="F1396" t="s">
        <v>2</v>
      </c>
      <c r="G1396" t="s">
        <v>3</v>
      </c>
      <c r="H1396" t="s">
        <v>4</v>
      </c>
      <c r="I1396" t="s">
        <v>5</v>
      </c>
      <c r="J1396" t="s">
        <v>6</v>
      </c>
    </row>
    <row r="1397" spans="1:10" x14ac:dyDescent="0.25">
      <c r="C1397" t="s">
        <v>7</v>
      </c>
      <c r="D1397" t="s">
        <v>8</v>
      </c>
      <c r="E1397" t="s">
        <v>9</v>
      </c>
      <c r="F1397" t="s">
        <v>10</v>
      </c>
      <c r="G1397" t="s">
        <v>124</v>
      </c>
      <c r="H1397" t="s">
        <v>12</v>
      </c>
      <c r="I1397" t="s">
        <v>13</v>
      </c>
      <c r="J1397" t="s">
        <v>14</v>
      </c>
    </row>
    <row r="1398" spans="1:10" x14ac:dyDescent="0.25">
      <c r="C1398" t="s">
        <v>15</v>
      </c>
      <c r="D1398" t="s">
        <v>15</v>
      </c>
      <c r="E1398" t="s">
        <v>15</v>
      </c>
      <c r="F1398" t="s">
        <v>16</v>
      </c>
      <c r="G1398" t="s">
        <v>15</v>
      </c>
      <c r="H1398" t="s">
        <v>17</v>
      </c>
      <c r="I1398" t="s">
        <v>16</v>
      </c>
      <c r="J1398" t="s">
        <v>16</v>
      </c>
    </row>
    <row r="1399" spans="1:10" x14ac:dyDescent="0.25">
      <c r="A1399" t="s">
        <v>18</v>
      </c>
      <c r="B1399" t="s">
        <v>19</v>
      </c>
      <c r="C1399" t="s">
        <v>20</v>
      </c>
      <c r="D1399" t="s">
        <v>21</v>
      </c>
      <c r="E1399" t="s">
        <v>22</v>
      </c>
      <c r="F1399" t="s">
        <v>23</v>
      </c>
      <c r="G1399" t="s">
        <v>24</v>
      </c>
      <c r="H1399" t="s">
        <v>20</v>
      </c>
      <c r="I1399" t="s">
        <v>24</v>
      </c>
      <c r="J1399" t="s">
        <v>20</v>
      </c>
    </row>
    <row r="1401" spans="1:10" x14ac:dyDescent="0.25">
      <c r="A1401" t="s">
        <v>501</v>
      </c>
    </row>
    <row r="1402" spans="1:10" x14ac:dyDescent="0.25">
      <c r="A1402" t="s">
        <v>18</v>
      </c>
    </row>
    <row r="1403" spans="1:10" x14ac:dyDescent="0.25">
      <c r="A1403" t="s">
        <v>1134</v>
      </c>
      <c r="B1403" t="s">
        <v>503</v>
      </c>
      <c r="C1403">
        <v>0</v>
      </c>
      <c r="D1403">
        <v>0</v>
      </c>
      <c r="E1403">
        <v>0</v>
      </c>
      <c r="F1403" s="2">
        <v>20000</v>
      </c>
      <c r="G1403" s="2">
        <v>12650</v>
      </c>
      <c r="H1403">
        <v>0</v>
      </c>
      <c r="I1403" t="s">
        <v>22</v>
      </c>
      <c r="J1403" t="s">
        <v>22</v>
      </c>
    </row>
    <row r="1404" spans="1:10" x14ac:dyDescent="0.25">
      <c r="A1404" t="s">
        <v>1135</v>
      </c>
      <c r="B1404" t="s">
        <v>509</v>
      </c>
      <c r="C1404">
        <v>0</v>
      </c>
      <c r="D1404">
        <v>0</v>
      </c>
      <c r="E1404">
        <v>0</v>
      </c>
      <c r="F1404" s="2">
        <v>25000</v>
      </c>
      <c r="G1404" s="2">
        <v>32600</v>
      </c>
      <c r="H1404">
        <v>0</v>
      </c>
      <c r="I1404" t="s">
        <v>22</v>
      </c>
      <c r="J1404" t="s">
        <v>22</v>
      </c>
    </row>
    <row r="1405" spans="1:10" x14ac:dyDescent="0.25">
      <c r="A1405" t="s">
        <v>1136</v>
      </c>
      <c r="B1405" t="s">
        <v>521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 t="s">
        <v>22</v>
      </c>
      <c r="J1405" t="s">
        <v>22</v>
      </c>
    </row>
    <row r="1406" spans="1:10" x14ac:dyDescent="0.25">
      <c r="A1406" t="s">
        <v>1137</v>
      </c>
      <c r="B1406" t="s">
        <v>1085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 t="s">
        <v>22</v>
      </c>
      <c r="J1406" t="s">
        <v>22</v>
      </c>
    </row>
    <row r="1407" spans="1:10" x14ac:dyDescent="0.25">
      <c r="C1407" t="s">
        <v>108</v>
      </c>
      <c r="D1407" t="s">
        <v>108</v>
      </c>
      <c r="E1407" t="s">
        <v>108</v>
      </c>
      <c r="F1407" t="s">
        <v>108</v>
      </c>
      <c r="G1407" t="s">
        <v>108</v>
      </c>
    </row>
    <row r="1408" spans="1:10" x14ac:dyDescent="0.25">
      <c r="H1408" t="s">
        <v>22</v>
      </c>
      <c r="I1408" t="s">
        <v>22</v>
      </c>
      <c r="J1408" t="s">
        <v>22</v>
      </c>
    </row>
    <row r="1409" spans="1:10" x14ac:dyDescent="0.25">
      <c r="A1409" t="s">
        <v>109</v>
      </c>
    </row>
    <row r="1410" spans="1:10" x14ac:dyDescent="0.25">
      <c r="B1410" t="s">
        <v>501</v>
      </c>
      <c r="C1410">
        <v>0</v>
      </c>
      <c r="D1410">
        <v>0</v>
      </c>
      <c r="E1410">
        <v>0</v>
      </c>
      <c r="F1410" s="2">
        <v>45000</v>
      </c>
      <c r="G1410" s="2">
        <v>45250</v>
      </c>
      <c r="H1410">
        <v>0</v>
      </c>
    </row>
    <row r="1412" spans="1:10" x14ac:dyDescent="0.25">
      <c r="A1412" t="s">
        <v>524</v>
      </c>
      <c r="B1412" t="s">
        <v>525</v>
      </c>
    </row>
    <row r="1413" spans="1:10" x14ac:dyDescent="0.25">
      <c r="A1413" t="s">
        <v>18</v>
      </c>
      <c r="B1413" t="s">
        <v>526</v>
      </c>
    </row>
    <row r="1414" spans="1:10" x14ac:dyDescent="0.25">
      <c r="A1414" t="s">
        <v>1138</v>
      </c>
      <c r="B1414" t="s">
        <v>530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 t="s">
        <v>22</v>
      </c>
      <c r="J1414" t="s">
        <v>22</v>
      </c>
    </row>
    <row r="1415" spans="1:10" x14ac:dyDescent="0.25">
      <c r="A1415" t="s">
        <v>1139</v>
      </c>
      <c r="B1415" t="s">
        <v>1089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 t="s">
        <v>22</v>
      </c>
      <c r="J1415" t="s">
        <v>22</v>
      </c>
    </row>
    <row r="1416" spans="1:10" x14ac:dyDescent="0.25">
      <c r="A1416" t="s">
        <v>1140</v>
      </c>
      <c r="B1416" t="s">
        <v>660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 t="s">
        <v>22</v>
      </c>
      <c r="J1416" t="s">
        <v>22</v>
      </c>
    </row>
    <row r="1417" spans="1:10" x14ac:dyDescent="0.25">
      <c r="C1417" t="s">
        <v>108</v>
      </c>
      <c r="D1417" t="s">
        <v>108</v>
      </c>
      <c r="E1417" t="s">
        <v>108</v>
      </c>
      <c r="F1417" t="s">
        <v>108</v>
      </c>
      <c r="G1417" t="s">
        <v>108</v>
      </c>
    </row>
    <row r="1418" spans="1:10" x14ac:dyDescent="0.25">
      <c r="H1418" t="s">
        <v>22</v>
      </c>
      <c r="I1418" t="s">
        <v>22</v>
      </c>
      <c r="J1418" t="s">
        <v>22</v>
      </c>
    </row>
    <row r="1419" spans="1:10" x14ac:dyDescent="0.25">
      <c r="A1419" t="s">
        <v>109</v>
      </c>
    </row>
    <row r="1420" spans="1:10" x14ac:dyDescent="0.25">
      <c r="B1420" t="s">
        <v>530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</row>
    <row r="1421" spans="1:10" x14ac:dyDescent="0.25">
      <c r="A1421" t="s">
        <v>18</v>
      </c>
      <c r="B1421" t="s">
        <v>19</v>
      </c>
      <c r="C1421" t="s">
        <v>20</v>
      </c>
      <c r="D1421" t="s">
        <v>21</v>
      </c>
      <c r="E1421" t="s">
        <v>26</v>
      </c>
    </row>
    <row r="1422" spans="1:10" x14ac:dyDescent="0.25">
      <c r="E1422" t="s">
        <v>339</v>
      </c>
      <c r="F1422" t="s">
        <v>23</v>
      </c>
      <c r="G1422" t="s">
        <v>24</v>
      </c>
      <c r="H1422" t="s">
        <v>20</v>
      </c>
      <c r="I1422" t="s">
        <v>24</v>
      </c>
      <c r="J1422" t="s">
        <v>20</v>
      </c>
    </row>
    <row r="1423" spans="1:10" x14ac:dyDescent="0.25">
      <c r="A1423" t="s">
        <v>109</v>
      </c>
    </row>
    <row r="1424" spans="1:10" x14ac:dyDescent="0.25">
      <c r="A1424">
        <v>22</v>
      </c>
      <c r="B1424" t="e">
        <f>-CODE ENFORCEMENT</f>
        <v>#NAME?</v>
      </c>
      <c r="C1424">
        <v>0</v>
      </c>
      <c r="D1424">
        <v>0</v>
      </c>
      <c r="E1424">
        <v>0</v>
      </c>
      <c r="F1424" s="2">
        <v>243714</v>
      </c>
      <c r="G1424" s="2">
        <v>150144</v>
      </c>
      <c r="H1424">
        <v>0</v>
      </c>
    </row>
    <row r="1426" spans="1:10" x14ac:dyDescent="0.25">
      <c r="A1426" t="s">
        <v>1141</v>
      </c>
      <c r="B1426" t="s">
        <v>1142</v>
      </c>
    </row>
    <row r="1427" spans="1:10" x14ac:dyDescent="0.25">
      <c r="A1427" t="s">
        <v>389</v>
      </c>
      <c r="B1427" t="s">
        <v>1143</v>
      </c>
    </row>
    <row r="1429" spans="1:10" x14ac:dyDescent="0.25">
      <c r="A1429" t="s">
        <v>391</v>
      </c>
      <c r="B1429" t="s">
        <v>392</v>
      </c>
    </row>
    <row r="1430" spans="1:10" x14ac:dyDescent="0.25">
      <c r="A1430" t="s">
        <v>18</v>
      </c>
      <c r="B1430" t="s">
        <v>228</v>
      </c>
    </row>
    <row r="1431" spans="1:10" x14ac:dyDescent="0.25">
      <c r="A1431" t="s">
        <v>1144</v>
      </c>
      <c r="B1431" t="s">
        <v>569</v>
      </c>
      <c r="C1431" s="2">
        <v>5490</v>
      </c>
      <c r="D1431">
        <v>437</v>
      </c>
      <c r="E1431">
        <v>0</v>
      </c>
      <c r="F1431">
        <v>0</v>
      </c>
      <c r="G1431">
        <v>0</v>
      </c>
      <c r="H1431">
        <v>0</v>
      </c>
      <c r="I1431" t="s">
        <v>22</v>
      </c>
      <c r="J1431" t="s">
        <v>22</v>
      </c>
    </row>
    <row r="1432" spans="1:10" x14ac:dyDescent="0.25">
      <c r="A1432" t="s">
        <v>1145</v>
      </c>
      <c r="B1432" t="s">
        <v>396</v>
      </c>
      <c r="C1432">
        <v>231</v>
      </c>
      <c r="D1432">
        <v>71</v>
      </c>
      <c r="E1432">
        <v>965</v>
      </c>
      <c r="F1432" s="2">
        <v>2268</v>
      </c>
      <c r="G1432">
        <v>105</v>
      </c>
      <c r="H1432">
        <v>675</v>
      </c>
      <c r="I1432" t="s">
        <v>22</v>
      </c>
      <c r="J1432" t="s">
        <v>22</v>
      </c>
    </row>
    <row r="1433" spans="1:10" x14ac:dyDescent="0.25">
      <c r="A1433" t="s">
        <v>1146</v>
      </c>
      <c r="B1433" t="s">
        <v>398</v>
      </c>
      <c r="C1433" s="2">
        <v>16401</v>
      </c>
      <c r="D1433" s="2">
        <v>23498</v>
      </c>
      <c r="E1433" s="2">
        <v>20532</v>
      </c>
      <c r="F1433" s="2">
        <v>28121</v>
      </c>
      <c r="G1433" s="2">
        <v>14449</v>
      </c>
      <c r="H1433" s="2">
        <v>6495</v>
      </c>
      <c r="I1433" t="s">
        <v>22</v>
      </c>
      <c r="J1433" t="s">
        <v>22</v>
      </c>
    </row>
    <row r="1434" spans="1:10" x14ac:dyDescent="0.25">
      <c r="A1434" t="s">
        <v>1147</v>
      </c>
      <c r="B1434" t="s">
        <v>400</v>
      </c>
      <c r="C1434" s="2">
        <v>18775</v>
      </c>
      <c r="D1434" s="2">
        <v>26858</v>
      </c>
      <c r="E1434" s="2">
        <v>25421</v>
      </c>
      <c r="F1434" s="2">
        <v>31661</v>
      </c>
      <c r="G1434" s="2">
        <v>16776</v>
      </c>
      <c r="H1434" s="2">
        <v>3270</v>
      </c>
      <c r="I1434" t="s">
        <v>22</v>
      </c>
      <c r="J1434" t="s">
        <v>22</v>
      </c>
    </row>
    <row r="1435" spans="1:10" x14ac:dyDescent="0.25">
      <c r="A1435" t="s">
        <v>1148</v>
      </c>
      <c r="B1435" t="s">
        <v>574</v>
      </c>
      <c r="C1435" s="2">
        <v>68003</v>
      </c>
      <c r="D1435" s="2">
        <v>83798</v>
      </c>
      <c r="E1435" s="2">
        <v>96352</v>
      </c>
      <c r="F1435" s="2">
        <v>141906</v>
      </c>
      <c r="G1435" s="2">
        <v>56102</v>
      </c>
      <c r="H1435" s="2">
        <v>9624</v>
      </c>
      <c r="I1435" t="s">
        <v>22</v>
      </c>
      <c r="J1435" t="s">
        <v>22</v>
      </c>
    </row>
    <row r="1436" spans="1:10" x14ac:dyDescent="0.25">
      <c r="A1436" t="s">
        <v>1149</v>
      </c>
      <c r="B1436" t="s">
        <v>404</v>
      </c>
      <c r="C1436" s="2">
        <v>3164</v>
      </c>
      <c r="D1436" s="2">
        <v>3938</v>
      </c>
      <c r="E1436" s="2">
        <v>4474</v>
      </c>
      <c r="F1436" s="2">
        <v>5232</v>
      </c>
      <c r="G1436" s="2">
        <v>2902</v>
      </c>
      <c r="H1436">
        <v>0</v>
      </c>
      <c r="I1436" t="s">
        <v>22</v>
      </c>
      <c r="J1436" t="s">
        <v>22</v>
      </c>
    </row>
    <row r="1437" spans="1:10" x14ac:dyDescent="0.25">
      <c r="A1437" t="s">
        <v>1150</v>
      </c>
      <c r="B1437" t="s">
        <v>406</v>
      </c>
      <c r="C1437">
        <v>882</v>
      </c>
      <c r="D1437" s="2">
        <v>4733</v>
      </c>
      <c r="E1437">
        <v>835</v>
      </c>
      <c r="F1437">
        <v>919</v>
      </c>
      <c r="G1437" s="2">
        <v>1485</v>
      </c>
      <c r="H1437">
        <v>510</v>
      </c>
      <c r="I1437" t="s">
        <v>22</v>
      </c>
      <c r="J1437" t="s">
        <v>22</v>
      </c>
    </row>
    <row r="1438" spans="1:10" x14ac:dyDescent="0.25">
      <c r="A1438" t="s">
        <v>1151</v>
      </c>
      <c r="B1438" t="s">
        <v>424</v>
      </c>
      <c r="C1438">
        <v>588</v>
      </c>
      <c r="D1438">
        <v>692</v>
      </c>
      <c r="E1438">
        <v>346</v>
      </c>
      <c r="F1438">
        <v>249</v>
      </c>
      <c r="G1438">
        <v>554</v>
      </c>
      <c r="H1438">
        <v>0</v>
      </c>
      <c r="I1438" t="s">
        <v>22</v>
      </c>
      <c r="J1438" t="s">
        <v>22</v>
      </c>
    </row>
    <row r="1439" spans="1:10" x14ac:dyDescent="0.25">
      <c r="A1439" t="s">
        <v>1152</v>
      </c>
      <c r="B1439" t="s">
        <v>426</v>
      </c>
      <c r="C1439" s="2">
        <v>1620</v>
      </c>
      <c r="D1439" s="2">
        <v>1620</v>
      </c>
      <c r="E1439" s="2">
        <v>2025</v>
      </c>
      <c r="F1439" s="2">
        <v>3239</v>
      </c>
      <c r="G1439" s="2">
        <v>1661</v>
      </c>
      <c r="H1439">
        <v>0</v>
      </c>
      <c r="I1439" t="s">
        <v>22</v>
      </c>
      <c r="J1439" t="s">
        <v>22</v>
      </c>
    </row>
    <row r="1440" spans="1:10" x14ac:dyDescent="0.25">
      <c r="A1440" t="s">
        <v>1153</v>
      </c>
      <c r="B1440" t="s">
        <v>598</v>
      </c>
      <c r="C1440" s="2">
        <v>2400</v>
      </c>
      <c r="D1440" s="2">
        <v>2400</v>
      </c>
      <c r="E1440" s="2">
        <v>3000</v>
      </c>
      <c r="F1440" s="2">
        <v>4800</v>
      </c>
      <c r="G1440" s="2">
        <v>1200</v>
      </c>
      <c r="H1440">
        <v>0</v>
      </c>
      <c r="I1440" t="s">
        <v>22</v>
      </c>
      <c r="J1440" t="s">
        <v>22</v>
      </c>
    </row>
    <row r="1441" spans="1:10" x14ac:dyDescent="0.25">
      <c r="A1441" t="s">
        <v>1154</v>
      </c>
      <c r="B1441" t="s">
        <v>428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0</v>
      </c>
      <c r="I1441" t="s">
        <v>22</v>
      </c>
      <c r="J1441" t="s">
        <v>22</v>
      </c>
    </row>
    <row r="1442" spans="1:10" x14ac:dyDescent="0.25">
      <c r="A1442" t="s">
        <v>1155</v>
      </c>
      <c r="B1442" t="s">
        <v>430</v>
      </c>
      <c r="C1442">
        <v>173</v>
      </c>
      <c r="D1442">
        <v>138</v>
      </c>
      <c r="E1442">
        <v>208</v>
      </c>
      <c r="F1442">
        <v>277</v>
      </c>
      <c r="G1442">
        <v>208</v>
      </c>
      <c r="H1442">
        <v>0</v>
      </c>
      <c r="I1442" t="s">
        <v>22</v>
      </c>
      <c r="J1442" t="s">
        <v>22</v>
      </c>
    </row>
    <row r="1443" spans="1:10" x14ac:dyDescent="0.25">
      <c r="A1443" t="s">
        <v>1156</v>
      </c>
      <c r="B1443" t="s">
        <v>1157</v>
      </c>
      <c r="C1443">
        <v>0</v>
      </c>
      <c r="D1443">
        <v>308</v>
      </c>
      <c r="E1443">
        <v>0</v>
      </c>
      <c r="F1443">
        <v>0</v>
      </c>
      <c r="G1443">
        <v>0</v>
      </c>
      <c r="H1443">
        <v>0</v>
      </c>
      <c r="I1443" t="s">
        <v>22</v>
      </c>
      <c r="J1443" t="s">
        <v>22</v>
      </c>
    </row>
    <row r="1444" spans="1:10" x14ac:dyDescent="0.25">
      <c r="A1444" t="s">
        <v>1158</v>
      </c>
      <c r="B1444" t="s">
        <v>1159</v>
      </c>
      <c r="C1444" s="2">
        <v>45153</v>
      </c>
      <c r="D1444" s="2">
        <v>61739</v>
      </c>
      <c r="E1444" s="2">
        <v>30761</v>
      </c>
      <c r="F1444" s="2">
        <v>52198</v>
      </c>
      <c r="G1444">
        <v>0</v>
      </c>
      <c r="H1444" s="2">
        <v>19366</v>
      </c>
      <c r="I1444" t="s">
        <v>22</v>
      </c>
      <c r="J1444" t="s">
        <v>22</v>
      </c>
    </row>
    <row r="1445" spans="1:10" x14ac:dyDescent="0.25">
      <c r="A1445" t="s">
        <v>1160</v>
      </c>
      <c r="B1445" t="s">
        <v>1161</v>
      </c>
      <c r="C1445" s="2">
        <v>138623</v>
      </c>
      <c r="D1445" s="2">
        <v>196597</v>
      </c>
      <c r="E1445" s="2">
        <v>221340</v>
      </c>
      <c r="F1445" s="2">
        <v>292032</v>
      </c>
      <c r="G1445" s="2">
        <v>170025</v>
      </c>
      <c r="H1445" s="2">
        <v>61353</v>
      </c>
      <c r="I1445" t="s">
        <v>22</v>
      </c>
      <c r="J1445" t="s">
        <v>22</v>
      </c>
    </row>
    <row r="1446" spans="1:10" x14ac:dyDescent="0.25">
      <c r="A1446" t="s">
        <v>1162</v>
      </c>
      <c r="B1446" t="s">
        <v>978</v>
      </c>
      <c r="C1446">
        <v>0</v>
      </c>
      <c r="D1446">
        <v>0</v>
      </c>
      <c r="E1446">
        <v>0</v>
      </c>
      <c r="F1446">
        <v>0</v>
      </c>
      <c r="G1446">
        <v>0</v>
      </c>
      <c r="H1446">
        <v>0</v>
      </c>
      <c r="I1446" t="s">
        <v>22</v>
      </c>
      <c r="J1446" t="s">
        <v>22</v>
      </c>
    </row>
    <row r="1447" spans="1:10" x14ac:dyDescent="0.25">
      <c r="A1447" t="s">
        <v>1163</v>
      </c>
      <c r="B1447" t="s">
        <v>432</v>
      </c>
      <c r="C1447" s="2">
        <v>35340</v>
      </c>
      <c r="D1447" s="2">
        <v>61965</v>
      </c>
      <c r="E1447" s="2">
        <v>28666</v>
      </c>
      <c r="F1447" s="2">
        <v>30000</v>
      </c>
      <c r="G1447" s="2">
        <v>26027</v>
      </c>
      <c r="H1447" s="2">
        <v>4190</v>
      </c>
      <c r="I1447" t="s">
        <v>22</v>
      </c>
      <c r="J1447" t="s">
        <v>22</v>
      </c>
    </row>
    <row r="1448" spans="1:10" x14ac:dyDescent="0.25">
      <c r="A1448" t="s">
        <v>1164</v>
      </c>
      <c r="B1448" t="s">
        <v>434</v>
      </c>
      <c r="C1448">
        <v>0</v>
      </c>
      <c r="D1448">
        <v>0</v>
      </c>
      <c r="E1448">
        <v>0</v>
      </c>
      <c r="F1448">
        <v>0</v>
      </c>
      <c r="G1448">
        <v>0</v>
      </c>
      <c r="H1448">
        <v>0</v>
      </c>
      <c r="I1448" t="s">
        <v>22</v>
      </c>
      <c r="J1448" t="s">
        <v>22</v>
      </c>
    </row>
    <row r="1449" spans="1:10" x14ac:dyDescent="0.25">
      <c r="A1449" t="s">
        <v>1165</v>
      </c>
      <c r="B1449" t="s">
        <v>1017</v>
      </c>
      <c r="C1449">
        <v>0</v>
      </c>
      <c r="D1449">
        <v>0</v>
      </c>
      <c r="E1449">
        <v>0</v>
      </c>
      <c r="F1449">
        <v>0</v>
      </c>
      <c r="G1449">
        <v>231</v>
      </c>
      <c r="H1449">
        <v>0</v>
      </c>
      <c r="I1449" t="s">
        <v>22</v>
      </c>
      <c r="J1449" t="s">
        <v>22</v>
      </c>
    </row>
    <row r="1450" spans="1:10" x14ac:dyDescent="0.25">
      <c r="A1450" t="s">
        <v>1166</v>
      </c>
      <c r="B1450" t="s">
        <v>436</v>
      </c>
      <c r="C1450">
        <v>0</v>
      </c>
      <c r="D1450">
        <v>0</v>
      </c>
      <c r="E1450">
        <v>0</v>
      </c>
      <c r="F1450">
        <v>0</v>
      </c>
      <c r="G1450">
        <v>0</v>
      </c>
      <c r="H1450">
        <v>0</v>
      </c>
      <c r="I1450" t="s">
        <v>22</v>
      </c>
      <c r="J1450" t="s">
        <v>22</v>
      </c>
    </row>
    <row r="1451" spans="1:10" x14ac:dyDescent="0.25">
      <c r="A1451" t="s">
        <v>1167</v>
      </c>
      <c r="B1451" t="s">
        <v>1020</v>
      </c>
      <c r="C1451">
        <v>0</v>
      </c>
      <c r="D1451">
        <v>0</v>
      </c>
      <c r="E1451">
        <v>0</v>
      </c>
      <c r="F1451" s="2">
        <v>14500</v>
      </c>
      <c r="G1451" s="2">
        <v>2123</v>
      </c>
      <c r="H1451">
        <v>0</v>
      </c>
      <c r="I1451" t="s">
        <v>22</v>
      </c>
      <c r="J1451" t="s">
        <v>22</v>
      </c>
    </row>
    <row r="1452" spans="1:10" x14ac:dyDescent="0.25">
      <c r="A1452" t="s">
        <v>1168</v>
      </c>
      <c r="B1452" t="s">
        <v>1022</v>
      </c>
      <c r="C1452">
        <v>0</v>
      </c>
      <c r="D1452">
        <v>0</v>
      </c>
      <c r="E1452">
        <v>0</v>
      </c>
      <c r="F1452">
        <v>0</v>
      </c>
      <c r="G1452">
        <v>692</v>
      </c>
      <c r="H1452">
        <v>0</v>
      </c>
      <c r="I1452" t="s">
        <v>22</v>
      </c>
      <c r="J1452" t="s">
        <v>22</v>
      </c>
    </row>
    <row r="1453" spans="1:10" x14ac:dyDescent="0.25">
      <c r="A1453" t="s">
        <v>1169</v>
      </c>
      <c r="B1453" t="s">
        <v>607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0</v>
      </c>
      <c r="I1453" t="s">
        <v>22</v>
      </c>
      <c r="J1453" t="s">
        <v>22</v>
      </c>
    </row>
    <row r="1454" spans="1:10" x14ac:dyDescent="0.25">
      <c r="C1454" t="s">
        <v>108</v>
      </c>
      <c r="D1454" t="s">
        <v>108</v>
      </c>
      <c r="E1454" t="s">
        <v>108</v>
      </c>
      <c r="F1454" t="s">
        <v>108</v>
      </c>
      <c r="G1454" t="s">
        <v>108</v>
      </c>
    </row>
    <row r="1455" spans="1:10" x14ac:dyDescent="0.25">
      <c r="H1455" t="s">
        <v>22</v>
      </c>
      <c r="I1455" t="s">
        <v>22</v>
      </c>
      <c r="J1455" t="s">
        <v>22</v>
      </c>
    </row>
    <row r="1456" spans="1:10" x14ac:dyDescent="0.25">
      <c r="A1456" t="s">
        <v>109</v>
      </c>
    </row>
    <row r="1457" spans="1:10" x14ac:dyDescent="0.25">
      <c r="B1457" t="s">
        <v>441</v>
      </c>
      <c r="C1457" s="2">
        <v>336842</v>
      </c>
      <c r="D1457" s="2">
        <v>468792</v>
      </c>
      <c r="E1457" s="2">
        <v>434923</v>
      </c>
      <c r="F1457" s="2">
        <v>607402</v>
      </c>
      <c r="G1457" s="2">
        <v>294540</v>
      </c>
      <c r="H1457" s="2">
        <v>105483</v>
      </c>
    </row>
    <row r="1458" spans="1:10" x14ac:dyDescent="0.25">
      <c r="A1458" t="s">
        <v>110</v>
      </c>
    </row>
    <row r="1459" spans="1:10" x14ac:dyDescent="0.25">
      <c r="A1459" s="1">
        <v>43991</v>
      </c>
      <c r="B1459" t="s">
        <v>111</v>
      </c>
      <c r="D1459" t="s">
        <v>112</v>
      </c>
      <c r="E1459" t="s">
        <v>113</v>
      </c>
      <c r="F1459" t="s">
        <v>114</v>
      </c>
      <c r="J1459" t="s">
        <v>1170</v>
      </c>
    </row>
    <row r="1460" spans="1:10" x14ac:dyDescent="0.25">
      <c r="D1460" t="s">
        <v>116</v>
      </c>
      <c r="E1460" t="s">
        <v>117</v>
      </c>
      <c r="F1460" t="s">
        <v>118</v>
      </c>
    </row>
    <row r="1461" spans="1:10" x14ac:dyDescent="0.25">
      <c r="D1461" t="s">
        <v>119</v>
      </c>
      <c r="E1461" t="s">
        <v>120</v>
      </c>
      <c r="F1461" t="s">
        <v>121</v>
      </c>
    </row>
    <row r="1462" spans="1:10" x14ac:dyDescent="0.25">
      <c r="A1462" t="s">
        <v>122</v>
      </c>
      <c r="B1462" t="s">
        <v>123</v>
      </c>
    </row>
    <row r="1463" spans="1:10" x14ac:dyDescent="0.25">
      <c r="A1463" t="s">
        <v>386</v>
      </c>
    </row>
    <row r="1464" spans="1:10" x14ac:dyDescent="0.25">
      <c r="F1464" t="s">
        <v>2</v>
      </c>
      <c r="G1464" t="s">
        <v>3</v>
      </c>
      <c r="H1464" t="s">
        <v>4</v>
      </c>
      <c r="I1464" t="s">
        <v>5</v>
      </c>
      <c r="J1464" t="s">
        <v>6</v>
      </c>
    </row>
    <row r="1465" spans="1:10" x14ac:dyDescent="0.25">
      <c r="C1465" t="s">
        <v>7</v>
      </c>
      <c r="D1465" t="s">
        <v>8</v>
      </c>
      <c r="E1465" t="s">
        <v>9</v>
      </c>
      <c r="F1465" t="s">
        <v>10</v>
      </c>
      <c r="G1465" t="s">
        <v>124</v>
      </c>
      <c r="H1465" t="s">
        <v>12</v>
      </c>
      <c r="I1465" t="s">
        <v>13</v>
      </c>
      <c r="J1465" t="s">
        <v>14</v>
      </c>
    </row>
    <row r="1466" spans="1:10" x14ac:dyDescent="0.25">
      <c r="C1466" t="s">
        <v>15</v>
      </c>
      <c r="D1466" t="s">
        <v>15</v>
      </c>
      <c r="E1466" t="s">
        <v>15</v>
      </c>
      <c r="F1466" t="s">
        <v>16</v>
      </c>
      <c r="G1466" t="s">
        <v>15</v>
      </c>
      <c r="H1466" t="s">
        <v>17</v>
      </c>
      <c r="I1466" t="s">
        <v>16</v>
      </c>
      <c r="J1466" t="s">
        <v>16</v>
      </c>
    </row>
    <row r="1467" spans="1:10" x14ac:dyDescent="0.25">
      <c r="A1467" t="s">
        <v>18</v>
      </c>
      <c r="B1467" t="s">
        <v>19</v>
      </c>
      <c r="C1467" t="s">
        <v>20</v>
      </c>
      <c r="D1467" t="s">
        <v>21</v>
      </c>
      <c r="E1467" t="s">
        <v>22</v>
      </c>
      <c r="F1467" t="s">
        <v>23</v>
      </c>
      <c r="G1467" t="s">
        <v>24</v>
      </c>
      <c r="H1467" t="s">
        <v>20</v>
      </c>
      <c r="I1467" t="s">
        <v>24</v>
      </c>
      <c r="J1467" t="s">
        <v>20</v>
      </c>
    </row>
    <row r="1469" spans="1:10" x14ac:dyDescent="0.25">
      <c r="A1469" t="s">
        <v>442</v>
      </c>
      <c r="B1469" t="s">
        <v>443</v>
      </c>
    </row>
    <row r="1470" spans="1:10" x14ac:dyDescent="0.25">
      <c r="A1470" t="s">
        <v>18</v>
      </c>
      <c r="B1470" t="s">
        <v>21</v>
      </c>
    </row>
    <row r="1471" spans="1:10" x14ac:dyDescent="0.25">
      <c r="A1471" t="s">
        <v>1171</v>
      </c>
      <c r="B1471" t="s">
        <v>447</v>
      </c>
      <c r="C1471">
        <v>0</v>
      </c>
      <c r="D1471" s="2">
        <v>1131</v>
      </c>
      <c r="E1471" s="2">
        <v>9913</v>
      </c>
      <c r="F1471">
        <v>0</v>
      </c>
      <c r="G1471">
        <v>631</v>
      </c>
      <c r="H1471">
        <v>0</v>
      </c>
      <c r="I1471" t="s">
        <v>22</v>
      </c>
      <c r="J1471" t="s">
        <v>22</v>
      </c>
    </row>
    <row r="1472" spans="1:10" x14ac:dyDescent="0.25">
      <c r="A1472" t="s">
        <v>1172</v>
      </c>
      <c r="B1472" t="s">
        <v>449</v>
      </c>
      <c r="C1472">
        <v>423</v>
      </c>
      <c r="D1472" s="2">
        <v>3252</v>
      </c>
      <c r="E1472" s="2">
        <v>1295</v>
      </c>
      <c r="F1472" s="2">
        <v>8000</v>
      </c>
      <c r="G1472" s="2">
        <v>1542</v>
      </c>
      <c r="H1472">
        <v>0</v>
      </c>
      <c r="I1472" t="s">
        <v>22</v>
      </c>
      <c r="J1472" t="s">
        <v>22</v>
      </c>
    </row>
    <row r="1473" spans="1:10" x14ac:dyDescent="0.25">
      <c r="A1473" t="s">
        <v>1173</v>
      </c>
      <c r="B1473" t="s">
        <v>451</v>
      </c>
      <c r="C1473">
        <v>0</v>
      </c>
      <c r="D1473">
        <v>150</v>
      </c>
      <c r="E1473" s="2">
        <v>1692</v>
      </c>
      <c r="F1473" s="2">
        <v>12000</v>
      </c>
      <c r="G1473">
        <v>416</v>
      </c>
      <c r="H1473">
        <v>0</v>
      </c>
      <c r="I1473" t="s">
        <v>22</v>
      </c>
      <c r="J1473" t="s">
        <v>22</v>
      </c>
    </row>
    <row r="1474" spans="1:10" x14ac:dyDescent="0.25">
      <c r="A1474" t="s">
        <v>1174</v>
      </c>
      <c r="B1474" t="s">
        <v>459</v>
      </c>
      <c r="C1474">
        <v>115</v>
      </c>
      <c r="D1474">
        <v>460</v>
      </c>
      <c r="E1474">
        <v>579</v>
      </c>
      <c r="F1474">
        <v>448</v>
      </c>
      <c r="G1474">
        <v>360</v>
      </c>
      <c r="H1474">
        <v>0</v>
      </c>
      <c r="I1474" t="s">
        <v>22</v>
      </c>
      <c r="J1474" t="s">
        <v>22</v>
      </c>
    </row>
    <row r="1475" spans="1:10" x14ac:dyDescent="0.25">
      <c r="A1475" t="s">
        <v>1175</v>
      </c>
      <c r="B1475" t="s">
        <v>1176</v>
      </c>
      <c r="C1475">
        <v>0</v>
      </c>
      <c r="D1475">
        <v>0</v>
      </c>
      <c r="E1475">
        <v>0</v>
      </c>
      <c r="F1475" s="2">
        <v>1000</v>
      </c>
      <c r="G1475">
        <v>0</v>
      </c>
      <c r="H1475">
        <v>0</v>
      </c>
      <c r="I1475" t="s">
        <v>22</v>
      </c>
      <c r="J1475" t="s">
        <v>22</v>
      </c>
    </row>
    <row r="1476" spans="1:10" x14ac:dyDescent="0.25">
      <c r="A1476" t="s">
        <v>1177</v>
      </c>
      <c r="B1476" t="s">
        <v>1060</v>
      </c>
      <c r="C1476">
        <v>0</v>
      </c>
      <c r="D1476" s="2">
        <v>1150</v>
      </c>
      <c r="E1476" s="2">
        <v>1210</v>
      </c>
      <c r="F1476" s="2">
        <v>2500</v>
      </c>
      <c r="G1476" s="2">
        <v>1080</v>
      </c>
      <c r="H1476">
        <v>0</v>
      </c>
      <c r="I1476" t="s">
        <v>22</v>
      </c>
      <c r="J1476" t="s">
        <v>22</v>
      </c>
    </row>
    <row r="1477" spans="1:10" x14ac:dyDescent="0.25">
      <c r="A1477" t="s">
        <v>1178</v>
      </c>
      <c r="B1477" t="s">
        <v>477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v>0</v>
      </c>
      <c r="I1477" t="s">
        <v>22</v>
      </c>
      <c r="J1477" t="s">
        <v>22</v>
      </c>
    </row>
    <row r="1478" spans="1:10" x14ac:dyDescent="0.25">
      <c r="C1478" t="s">
        <v>108</v>
      </c>
      <c r="D1478" t="s">
        <v>108</v>
      </c>
      <c r="E1478" t="s">
        <v>108</v>
      </c>
      <c r="F1478" t="s">
        <v>108</v>
      </c>
      <c r="G1478" t="s">
        <v>108</v>
      </c>
    </row>
    <row r="1479" spans="1:10" x14ac:dyDescent="0.25">
      <c r="H1479" t="s">
        <v>22</v>
      </c>
      <c r="I1479" t="s">
        <v>22</v>
      </c>
      <c r="J1479" t="s">
        <v>22</v>
      </c>
    </row>
    <row r="1480" spans="1:10" x14ac:dyDescent="0.25">
      <c r="A1480" t="s">
        <v>109</v>
      </c>
    </row>
    <row r="1481" spans="1:10" x14ac:dyDescent="0.25">
      <c r="B1481" t="s">
        <v>478</v>
      </c>
      <c r="C1481">
        <v>538</v>
      </c>
      <c r="D1481" s="2">
        <v>6143</v>
      </c>
      <c r="E1481" s="2">
        <v>14690</v>
      </c>
      <c r="F1481" s="2">
        <v>23948</v>
      </c>
      <c r="G1481" s="2">
        <v>4030</v>
      </c>
      <c r="H1481">
        <v>0</v>
      </c>
    </row>
    <row r="1483" spans="1:10" x14ac:dyDescent="0.25">
      <c r="A1483" t="s">
        <v>489</v>
      </c>
    </row>
    <row r="1484" spans="1:10" x14ac:dyDescent="0.25">
      <c r="A1484" t="s">
        <v>18</v>
      </c>
    </row>
    <row r="1485" spans="1:10" x14ac:dyDescent="0.25">
      <c r="A1485" t="s">
        <v>1179</v>
      </c>
      <c r="B1485" t="s">
        <v>493</v>
      </c>
      <c r="C1485">
        <v>0</v>
      </c>
      <c r="D1485">
        <v>0</v>
      </c>
      <c r="E1485">
        <v>0</v>
      </c>
      <c r="F1485">
        <v>0</v>
      </c>
      <c r="G1485">
        <v>75</v>
      </c>
      <c r="H1485">
        <v>0</v>
      </c>
      <c r="I1485" t="s">
        <v>22</v>
      </c>
      <c r="J1485" t="s">
        <v>22</v>
      </c>
    </row>
    <row r="1486" spans="1:10" x14ac:dyDescent="0.25">
      <c r="A1486" t="s">
        <v>1180</v>
      </c>
      <c r="B1486" t="s">
        <v>489</v>
      </c>
      <c r="C1486" s="2">
        <v>2400</v>
      </c>
      <c r="D1486" s="2">
        <v>2911</v>
      </c>
      <c r="E1486" s="2">
        <v>4006</v>
      </c>
      <c r="F1486" s="2">
        <v>3600</v>
      </c>
      <c r="G1486" s="2">
        <v>4088</v>
      </c>
      <c r="H1486">
        <v>0</v>
      </c>
      <c r="I1486" t="s">
        <v>22</v>
      </c>
      <c r="J1486" t="s">
        <v>22</v>
      </c>
    </row>
    <row r="1487" spans="1:10" x14ac:dyDescent="0.25">
      <c r="A1487" t="s">
        <v>1181</v>
      </c>
      <c r="B1487" t="s">
        <v>498</v>
      </c>
      <c r="C1487">
        <v>0</v>
      </c>
      <c r="D1487">
        <v>0</v>
      </c>
      <c r="E1487">
        <v>0</v>
      </c>
      <c r="F1487">
        <v>0</v>
      </c>
      <c r="G1487">
        <v>0</v>
      </c>
      <c r="H1487">
        <v>0</v>
      </c>
      <c r="I1487" t="s">
        <v>22</v>
      </c>
      <c r="J1487" t="s">
        <v>22</v>
      </c>
    </row>
    <row r="1488" spans="1:10" x14ac:dyDescent="0.25">
      <c r="A1488" t="s">
        <v>1182</v>
      </c>
      <c r="B1488" t="s">
        <v>500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 t="s">
        <v>22</v>
      </c>
      <c r="J1488" t="s">
        <v>22</v>
      </c>
    </row>
    <row r="1489" spans="1:10" x14ac:dyDescent="0.25">
      <c r="C1489" t="s">
        <v>108</v>
      </c>
      <c r="D1489" t="s">
        <v>108</v>
      </c>
      <c r="E1489" t="s">
        <v>108</v>
      </c>
      <c r="F1489" t="s">
        <v>108</v>
      </c>
      <c r="G1489" t="s">
        <v>108</v>
      </c>
    </row>
    <row r="1490" spans="1:10" x14ac:dyDescent="0.25">
      <c r="H1490" t="s">
        <v>22</v>
      </c>
      <c r="I1490" t="s">
        <v>22</v>
      </c>
      <c r="J1490" t="s">
        <v>22</v>
      </c>
    </row>
    <row r="1491" spans="1:10" x14ac:dyDescent="0.25">
      <c r="A1491" t="s">
        <v>109</v>
      </c>
    </row>
    <row r="1492" spans="1:10" x14ac:dyDescent="0.25">
      <c r="B1492" t="s">
        <v>489</v>
      </c>
      <c r="C1492" s="2">
        <v>2400</v>
      </c>
      <c r="D1492" s="2">
        <v>2911</v>
      </c>
      <c r="E1492" s="2">
        <v>4006</v>
      </c>
      <c r="F1492" s="2">
        <v>3600</v>
      </c>
      <c r="G1492" s="2">
        <v>4163</v>
      </c>
      <c r="H1492">
        <v>0</v>
      </c>
    </row>
    <row r="1494" spans="1:10" x14ac:dyDescent="0.25">
      <c r="A1494" t="s">
        <v>501</v>
      </c>
    </row>
    <row r="1495" spans="1:10" x14ac:dyDescent="0.25">
      <c r="A1495" t="s">
        <v>18</v>
      </c>
    </row>
    <row r="1496" spans="1:10" x14ac:dyDescent="0.25">
      <c r="A1496" t="s">
        <v>1183</v>
      </c>
      <c r="B1496" t="s">
        <v>1184</v>
      </c>
      <c r="C1496" s="2">
        <v>15038</v>
      </c>
      <c r="D1496" s="2">
        <v>25063</v>
      </c>
      <c r="E1496" s="2">
        <v>16363</v>
      </c>
      <c r="F1496" s="2">
        <v>26650</v>
      </c>
      <c r="G1496" s="2">
        <v>5013</v>
      </c>
      <c r="H1496">
        <v>0</v>
      </c>
      <c r="I1496" t="s">
        <v>22</v>
      </c>
      <c r="J1496" t="s">
        <v>22</v>
      </c>
    </row>
    <row r="1497" spans="1:10" x14ac:dyDescent="0.25">
      <c r="A1497" t="s">
        <v>1185</v>
      </c>
      <c r="B1497" t="s">
        <v>519</v>
      </c>
      <c r="C1497">
        <v>45</v>
      </c>
      <c r="D1497">
        <v>0</v>
      </c>
      <c r="E1497">
        <v>0</v>
      </c>
      <c r="F1497" s="2">
        <v>1000</v>
      </c>
      <c r="G1497">
        <v>0</v>
      </c>
      <c r="H1497">
        <v>0</v>
      </c>
      <c r="I1497" t="s">
        <v>22</v>
      </c>
      <c r="J1497" t="s">
        <v>22</v>
      </c>
    </row>
    <row r="1498" spans="1:10" x14ac:dyDescent="0.25">
      <c r="A1498" t="s">
        <v>1186</v>
      </c>
      <c r="B1498" t="s">
        <v>521</v>
      </c>
      <c r="C1498" s="2">
        <v>17816</v>
      </c>
      <c r="D1498" s="2">
        <v>5212</v>
      </c>
      <c r="E1498">
        <v>750</v>
      </c>
      <c r="F1498" s="2">
        <v>4200</v>
      </c>
      <c r="G1498" s="2">
        <v>1000</v>
      </c>
      <c r="H1498">
        <v>0</v>
      </c>
      <c r="I1498" t="s">
        <v>22</v>
      </c>
      <c r="J1498" t="s">
        <v>22</v>
      </c>
    </row>
    <row r="1499" spans="1:10" x14ac:dyDescent="0.25">
      <c r="C1499" t="s">
        <v>108</v>
      </c>
      <c r="D1499" t="s">
        <v>108</v>
      </c>
      <c r="E1499" t="s">
        <v>108</v>
      </c>
      <c r="F1499" t="s">
        <v>108</v>
      </c>
      <c r="G1499" t="s">
        <v>108</v>
      </c>
    </row>
    <row r="1500" spans="1:10" x14ac:dyDescent="0.25">
      <c r="H1500" t="s">
        <v>22</v>
      </c>
      <c r="I1500" t="s">
        <v>22</v>
      </c>
      <c r="J1500" t="s">
        <v>22</v>
      </c>
    </row>
    <row r="1501" spans="1:10" x14ac:dyDescent="0.25">
      <c r="A1501" t="s">
        <v>109</v>
      </c>
    </row>
    <row r="1502" spans="1:10" x14ac:dyDescent="0.25">
      <c r="B1502" t="s">
        <v>501</v>
      </c>
      <c r="C1502" s="2">
        <v>32898</v>
      </c>
      <c r="D1502" s="2">
        <v>30275</v>
      </c>
      <c r="E1502" s="2">
        <v>17113</v>
      </c>
      <c r="F1502" s="2">
        <v>31850</v>
      </c>
      <c r="G1502" s="2">
        <v>6013</v>
      </c>
      <c r="H1502">
        <v>0</v>
      </c>
    </row>
    <row r="1504" spans="1:10" x14ac:dyDescent="0.25">
      <c r="A1504" t="s">
        <v>524</v>
      </c>
      <c r="B1504" t="s">
        <v>525</v>
      </c>
    </row>
    <row r="1505" spans="1:10" x14ac:dyDescent="0.25">
      <c r="A1505" t="s">
        <v>18</v>
      </c>
      <c r="B1505" t="s">
        <v>526</v>
      </c>
    </row>
    <row r="1506" spans="1:10" x14ac:dyDescent="0.25">
      <c r="A1506" t="s">
        <v>1187</v>
      </c>
      <c r="B1506" t="s">
        <v>530</v>
      </c>
      <c r="C1506">
        <v>0</v>
      </c>
      <c r="D1506">
        <v>0</v>
      </c>
      <c r="E1506" s="2">
        <v>4789</v>
      </c>
      <c r="F1506">
        <v>0</v>
      </c>
      <c r="G1506">
        <v>0</v>
      </c>
      <c r="H1506">
        <v>0</v>
      </c>
      <c r="I1506" t="s">
        <v>22</v>
      </c>
      <c r="J1506" t="s">
        <v>22</v>
      </c>
    </row>
    <row r="1507" spans="1:10" x14ac:dyDescent="0.25">
      <c r="A1507" t="s">
        <v>1188</v>
      </c>
      <c r="B1507" t="s">
        <v>534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v>0</v>
      </c>
      <c r="I1507" t="s">
        <v>22</v>
      </c>
      <c r="J1507" t="s">
        <v>22</v>
      </c>
    </row>
    <row r="1508" spans="1:10" x14ac:dyDescent="0.25">
      <c r="A1508" t="s">
        <v>1189</v>
      </c>
      <c r="B1508" t="s">
        <v>1190</v>
      </c>
      <c r="C1508">
        <v>0</v>
      </c>
      <c r="D1508">
        <v>0</v>
      </c>
      <c r="E1508">
        <v>0</v>
      </c>
      <c r="F1508">
        <v>0</v>
      </c>
      <c r="G1508">
        <v>0</v>
      </c>
      <c r="H1508">
        <v>0</v>
      </c>
      <c r="I1508" t="s">
        <v>22</v>
      </c>
      <c r="J1508" t="s">
        <v>22</v>
      </c>
    </row>
    <row r="1509" spans="1:10" x14ac:dyDescent="0.25">
      <c r="C1509" t="s">
        <v>108</v>
      </c>
      <c r="D1509" t="s">
        <v>108</v>
      </c>
      <c r="E1509" t="s">
        <v>108</v>
      </c>
      <c r="F1509" t="s">
        <v>108</v>
      </c>
      <c r="G1509" t="s">
        <v>108</v>
      </c>
    </row>
    <row r="1510" spans="1:10" x14ac:dyDescent="0.25">
      <c r="H1510" t="s">
        <v>22</v>
      </c>
      <c r="I1510" t="s">
        <v>22</v>
      </c>
      <c r="J1510" t="s">
        <v>22</v>
      </c>
    </row>
    <row r="1511" spans="1:10" x14ac:dyDescent="0.25">
      <c r="A1511" t="s">
        <v>109</v>
      </c>
    </row>
    <row r="1512" spans="1:10" x14ac:dyDescent="0.25">
      <c r="B1512" t="s">
        <v>530</v>
      </c>
      <c r="C1512">
        <v>0</v>
      </c>
      <c r="D1512">
        <v>0</v>
      </c>
      <c r="E1512" s="2">
        <v>4789</v>
      </c>
      <c r="F1512">
        <v>0</v>
      </c>
      <c r="G1512">
        <v>0</v>
      </c>
      <c r="H1512">
        <v>0</v>
      </c>
    </row>
    <row r="1513" spans="1:10" x14ac:dyDescent="0.25">
      <c r="A1513" t="s">
        <v>18</v>
      </c>
      <c r="B1513" t="s">
        <v>19</v>
      </c>
      <c r="C1513" t="s">
        <v>20</v>
      </c>
      <c r="D1513" t="s">
        <v>21</v>
      </c>
      <c r="E1513" t="s">
        <v>26</v>
      </c>
    </row>
    <row r="1514" spans="1:10" x14ac:dyDescent="0.25">
      <c r="E1514" t="s">
        <v>339</v>
      </c>
      <c r="F1514" t="s">
        <v>23</v>
      </c>
      <c r="G1514" t="s">
        <v>24</v>
      </c>
      <c r="H1514" t="s">
        <v>20</v>
      </c>
      <c r="I1514" t="s">
        <v>24</v>
      </c>
      <c r="J1514" t="s">
        <v>20</v>
      </c>
    </row>
    <row r="1515" spans="1:10" x14ac:dyDescent="0.25">
      <c r="A1515" t="s">
        <v>109</v>
      </c>
    </row>
    <row r="1516" spans="1:10" x14ac:dyDescent="0.25">
      <c r="A1516">
        <v>25</v>
      </c>
      <c r="B1516" t="e">
        <f>-DISPATCHING</f>
        <v>#NAME?</v>
      </c>
      <c r="C1516" s="2">
        <v>372678</v>
      </c>
      <c r="D1516" s="2">
        <v>508120</v>
      </c>
      <c r="E1516" s="2">
        <v>475520</v>
      </c>
      <c r="F1516" s="2">
        <v>666800</v>
      </c>
      <c r="G1516" s="2">
        <v>308745</v>
      </c>
      <c r="H1516" s="2">
        <v>105483</v>
      </c>
    </row>
    <row r="1518" spans="1:10" x14ac:dyDescent="0.25">
      <c r="A1518" t="s">
        <v>295</v>
      </c>
      <c r="B1518" t="s">
        <v>1191</v>
      </c>
    </row>
    <row r="1519" spans="1:10" x14ac:dyDescent="0.25">
      <c r="A1519" t="s">
        <v>389</v>
      </c>
      <c r="B1519" t="s">
        <v>567</v>
      </c>
    </row>
    <row r="1521" spans="1:10" x14ac:dyDescent="0.25">
      <c r="A1521" t="s">
        <v>391</v>
      </c>
      <c r="B1521" t="s">
        <v>392</v>
      </c>
    </row>
    <row r="1522" spans="1:10" x14ac:dyDescent="0.25">
      <c r="A1522" t="s">
        <v>18</v>
      </c>
      <c r="B1522" t="s">
        <v>228</v>
      </c>
    </row>
    <row r="1523" spans="1:10" x14ac:dyDescent="0.25">
      <c r="A1523" t="s">
        <v>1192</v>
      </c>
      <c r="B1523" t="s">
        <v>569</v>
      </c>
      <c r="C1523" s="2">
        <v>-3191</v>
      </c>
      <c r="D1523" s="2">
        <v>3299</v>
      </c>
      <c r="E1523">
        <v>0</v>
      </c>
      <c r="F1523">
        <v>0</v>
      </c>
      <c r="G1523">
        <v>0</v>
      </c>
      <c r="H1523">
        <v>0</v>
      </c>
      <c r="I1523" t="s">
        <v>22</v>
      </c>
      <c r="J1523" t="s">
        <v>22</v>
      </c>
    </row>
    <row r="1524" spans="1:10" x14ac:dyDescent="0.25">
      <c r="A1524" t="s">
        <v>1193</v>
      </c>
      <c r="B1524" t="s">
        <v>396</v>
      </c>
      <c r="C1524">
        <v>344</v>
      </c>
      <c r="D1524">
        <v>88</v>
      </c>
      <c r="E1524" s="2">
        <v>1259</v>
      </c>
      <c r="F1524" s="2">
        <v>2772</v>
      </c>
      <c r="G1524">
        <v>151</v>
      </c>
      <c r="H1524">
        <v>887</v>
      </c>
      <c r="I1524" t="s">
        <v>22</v>
      </c>
      <c r="J1524" t="s">
        <v>22</v>
      </c>
    </row>
    <row r="1525" spans="1:10" x14ac:dyDescent="0.25">
      <c r="A1525" t="s">
        <v>1194</v>
      </c>
      <c r="B1525" t="s">
        <v>398</v>
      </c>
      <c r="C1525" s="2">
        <v>34464</v>
      </c>
      <c r="D1525" s="2">
        <v>34110</v>
      </c>
      <c r="E1525" s="2">
        <v>39006</v>
      </c>
      <c r="F1525" s="2">
        <v>39818</v>
      </c>
      <c r="G1525" s="2">
        <v>22175</v>
      </c>
      <c r="H1525" s="2">
        <v>10357</v>
      </c>
      <c r="I1525" t="s">
        <v>22</v>
      </c>
      <c r="J1525" t="s">
        <v>22</v>
      </c>
    </row>
    <row r="1526" spans="1:10" x14ac:dyDescent="0.25">
      <c r="A1526" t="s">
        <v>1195</v>
      </c>
      <c r="B1526" t="s">
        <v>400</v>
      </c>
      <c r="C1526" s="2">
        <v>37169</v>
      </c>
      <c r="D1526" s="2">
        <v>37360</v>
      </c>
      <c r="E1526" s="2">
        <v>45653</v>
      </c>
      <c r="F1526" s="2">
        <v>49396</v>
      </c>
      <c r="G1526" s="2">
        <v>24692</v>
      </c>
      <c r="H1526" s="2">
        <v>5211</v>
      </c>
      <c r="I1526" t="s">
        <v>22</v>
      </c>
      <c r="J1526" t="s">
        <v>22</v>
      </c>
    </row>
    <row r="1527" spans="1:10" x14ac:dyDescent="0.25">
      <c r="A1527" t="s">
        <v>1196</v>
      </c>
      <c r="B1527" t="s">
        <v>574</v>
      </c>
      <c r="C1527" s="2">
        <v>112659</v>
      </c>
      <c r="D1527" s="2">
        <v>99719</v>
      </c>
      <c r="E1527" s="2">
        <v>110053</v>
      </c>
      <c r="F1527" s="2">
        <v>161475</v>
      </c>
      <c r="G1527" s="2">
        <v>59882</v>
      </c>
      <c r="H1527" s="2">
        <v>18179</v>
      </c>
      <c r="I1527" t="s">
        <v>22</v>
      </c>
      <c r="J1527" t="s">
        <v>22</v>
      </c>
    </row>
    <row r="1528" spans="1:10" x14ac:dyDescent="0.25">
      <c r="A1528" t="s">
        <v>1197</v>
      </c>
      <c r="B1528" t="s">
        <v>404</v>
      </c>
      <c r="C1528" s="2">
        <v>6220</v>
      </c>
      <c r="D1528" s="2">
        <v>5688</v>
      </c>
      <c r="E1528" s="2">
        <v>6192</v>
      </c>
      <c r="F1528" s="2">
        <v>7194</v>
      </c>
      <c r="G1528" s="2">
        <v>3279</v>
      </c>
      <c r="H1528">
        <v>0</v>
      </c>
      <c r="I1528" t="s">
        <v>22</v>
      </c>
      <c r="J1528" t="s">
        <v>22</v>
      </c>
    </row>
    <row r="1529" spans="1:10" x14ac:dyDescent="0.25">
      <c r="A1529" t="s">
        <v>1198</v>
      </c>
      <c r="B1529" t="s">
        <v>406</v>
      </c>
      <c r="C1529" s="2">
        <v>19318</v>
      </c>
      <c r="D1529" s="2">
        <v>7653</v>
      </c>
      <c r="E1529" s="2">
        <v>20404</v>
      </c>
      <c r="F1529" s="2">
        <v>22444</v>
      </c>
      <c r="G1529" s="2">
        <v>23587</v>
      </c>
      <c r="H1529" s="2">
        <v>18736</v>
      </c>
      <c r="I1529" t="s">
        <v>22</v>
      </c>
      <c r="J1529" t="s">
        <v>22</v>
      </c>
    </row>
    <row r="1530" spans="1:10" x14ac:dyDescent="0.25">
      <c r="A1530" t="s">
        <v>1199</v>
      </c>
      <c r="B1530" t="s">
        <v>1200</v>
      </c>
      <c r="C1530">
        <v>0</v>
      </c>
      <c r="D1530">
        <v>0</v>
      </c>
      <c r="E1530">
        <v>0</v>
      </c>
      <c r="F1530">
        <v>0</v>
      </c>
      <c r="G1530">
        <v>0</v>
      </c>
      <c r="H1530">
        <v>0</v>
      </c>
      <c r="I1530" t="s">
        <v>22</v>
      </c>
      <c r="J1530" t="s">
        <v>22</v>
      </c>
    </row>
    <row r="1531" spans="1:10" x14ac:dyDescent="0.25">
      <c r="A1531" t="s">
        <v>1201</v>
      </c>
      <c r="B1531" t="s">
        <v>424</v>
      </c>
      <c r="C1531" s="2">
        <v>4118</v>
      </c>
      <c r="D1531" s="2">
        <v>3668</v>
      </c>
      <c r="E1531" s="2">
        <v>3945</v>
      </c>
      <c r="F1531" s="2">
        <v>1691</v>
      </c>
      <c r="G1531" s="2">
        <v>2907</v>
      </c>
      <c r="H1531">
        <v>0</v>
      </c>
      <c r="I1531" t="s">
        <v>22</v>
      </c>
      <c r="J1531" t="s">
        <v>22</v>
      </c>
    </row>
    <row r="1532" spans="1:10" x14ac:dyDescent="0.25">
      <c r="A1532" t="s">
        <v>1202</v>
      </c>
      <c r="B1532" t="s">
        <v>426</v>
      </c>
      <c r="C1532" s="2">
        <v>3644</v>
      </c>
      <c r="D1532" s="2">
        <v>3239</v>
      </c>
      <c r="E1532" s="2">
        <v>3239</v>
      </c>
      <c r="F1532" s="2">
        <v>4454</v>
      </c>
      <c r="G1532" s="2">
        <v>3322</v>
      </c>
      <c r="H1532">
        <v>0</v>
      </c>
      <c r="I1532" t="s">
        <v>22</v>
      </c>
      <c r="J1532" t="s">
        <v>22</v>
      </c>
    </row>
    <row r="1533" spans="1:10" x14ac:dyDescent="0.25">
      <c r="A1533" t="s">
        <v>1203</v>
      </c>
      <c r="B1533" t="s">
        <v>1204</v>
      </c>
      <c r="C1533" s="2">
        <v>1800</v>
      </c>
      <c r="D1533" s="2">
        <v>1620</v>
      </c>
      <c r="E1533" s="2">
        <v>1800</v>
      </c>
      <c r="F1533" s="2">
        <v>1979</v>
      </c>
      <c r="G1533" s="2">
        <v>1260</v>
      </c>
      <c r="H1533">
        <v>0</v>
      </c>
      <c r="I1533" t="s">
        <v>22</v>
      </c>
      <c r="J1533" t="s">
        <v>22</v>
      </c>
    </row>
    <row r="1534" spans="1:10" x14ac:dyDescent="0.25">
      <c r="A1534" t="s">
        <v>1205</v>
      </c>
      <c r="B1534" t="s">
        <v>428</v>
      </c>
      <c r="C1534" s="2">
        <v>1200</v>
      </c>
      <c r="D1534" s="2">
        <v>1200</v>
      </c>
      <c r="E1534">
        <v>923</v>
      </c>
      <c r="F1534">
        <v>600</v>
      </c>
      <c r="G1534">
        <v>162</v>
      </c>
      <c r="H1534">
        <v>0</v>
      </c>
      <c r="I1534" t="s">
        <v>22</v>
      </c>
      <c r="J1534" t="s">
        <v>22</v>
      </c>
    </row>
    <row r="1535" spans="1:10" x14ac:dyDescent="0.25">
      <c r="A1535" t="s">
        <v>1206</v>
      </c>
      <c r="B1535" t="s">
        <v>430</v>
      </c>
      <c r="C1535">
        <v>346</v>
      </c>
      <c r="D1535">
        <v>311</v>
      </c>
      <c r="E1535">
        <v>346</v>
      </c>
      <c r="F1535">
        <v>380</v>
      </c>
      <c r="G1535">
        <v>277</v>
      </c>
      <c r="H1535">
        <v>0</v>
      </c>
      <c r="I1535" t="s">
        <v>22</v>
      </c>
      <c r="J1535" t="s">
        <v>22</v>
      </c>
    </row>
    <row r="1536" spans="1:10" x14ac:dyDescent="0.25">
      <c r="A1536" t="s">
        <v>1207</v>
      </c>
      <c r="B1536" t="s">
        <v>432</v>
      </c>
      <c r="C1536" s="2">
        <v>25153</v>
      </c>
      <c r="D1536" s="2">
        <v>33725</v>
      </c>
      <c r="E1536" s="2">
        <v>26991</v>
      </c>
      <c r="F1536" s="2">
        <v>25000</v>
      </c>
      <c r="G1536" s="2">
        <v>20439</v>
      </c>
      <c r="H1536" s="2">
        <v>4500</v>
      </c>
      <c r="I1536" t="s">
        <v>22</v>
      </c>
      <c r="J1536" t="s">
        <v>22</v>
      </c>
    </row>
    <row r="1537" spans="1:10" x14ac:dyDescent="0.25">
      <c r="A1537" t="s">
        <v>110</v>
      </c>
    </row>
    <row r="1538" spans="1:10" x14ac:dyDescent="0.25">
      <c r="A1538" s="1">
        <v>43991</v>
      </c>
      <c r="B1538" t="s">
        <v>111</v>
      </c>
      <c r="D1538" t="s">
        <v>112</v>
      </c>
      <c r="E1538" t="s">
        <v>113</v>
      </c>
      <c r="F1538" t="s">
        <v>114</v>
      </c>
      <c r="J1538" t="s">
        <v>1208</v>
      </c>
    </row>
    <row r="1539" spans="1:10" x14ac:dyDescent="0.25">
      <c r="D1539" t="s">
        <v>116</v>
      </c>
      <c r="E1539" t="s">
        <v>117</v>
      </c>
      <c r="F1539" t="s">
        <v>118</v>
      </c>
    </row>
    <row r="1540" spans="1:10" x14ac:dyDescent="0.25">
      <c r="D1540" t="s">
        <v>119</v>
      </c>
      <c r="E1540" t="s">
        <v>120</v>
      </c>
      <c r="F1540" t="s">
        <v>121</v>
      </c>
    </row>
    <row r="1541" spans="1:10" x14ac:dyDescent="0.25">
      <c r="A1541" t="s">
        <v>122</v>
      </c>
      <c r="B1541" t="s">
        <v>123</v>
      </c>
    </row>
    <row r="1542" spans="1:10" x14ac:dyDescent="0.25">
      <c r="A1542" t="s">
        <v>386</v>
      </c>
    </row>
    <row r="1543" spans="1:10" x14ac:dyDescent="0.25">
      <c r="F1543" t="s">
        <v>2</v>
      </c>
      <c r="G1543" t="s">
        <v>3</v>
      </c>
      <c r="H1543" t="s">
        <v>4</v>
      </c>
      <c r="I1543" t="s">
        <v>5</v>
      </c>
      <c r="J1543" t="s">
        <v>6</v>
      </c>
    </row>
    <row r="1544" spans="1:10" x14ac:dyDescent="0.25">
      <c r="C1544" t="s">
        <v>7</v>
      </c>
      <c r="D1544" t="s">
        <v>8</v>
      </c>
      <c r="E1544" t="s">
        <v>9</v>
      </c>
      <c r="F1544" t="s">
        <v>10</v>
      </c>
      <c r="G1544" t="s">
        <v>124</v>
      </c>
      <c r="H1544" t="s">
        <v>12</v>
      </c>
      <c r="I1544" t="s">
        <v>13</v>
      </c>
      <c r="J1544" t="s">
        <v>14</v>
      </c>
    </row>
    <row r="1545" spans="1:10" x14ac:dyDescent="0.25">
      <c r="C1545" t="s">
        <v>15</v>
      </c>
      <c r="D1545" t="s">
        <v>15</v>
      </c>
      <c r="E1545" t="s">
        <v>15</v>
      </c>
      <c r="F1545" t="s">
        <v>16</v>
      </c>
      <c r="G1545" t="s">
        <v>15</v>
      </c>
      <c r="H1545" t="s">
        <v>17</v>
      </c>
      <c r="I1545" t="s">
        <v>16</v>
      </c>
      <c r="J1545" t="s">
        <v>16</v>
      </c>
    </row>
    <row r="1546" spans="1:10" x14ac:dyDescent="0.25">
      <c r="A1546" t="s">
        <v>18</v>
      </c>
      <c r="B1546" t="s">
        <v>19</v>
      </c>
      <c r="C1546" t="s">
        <v>20</v>
      </c>
      <c r="D1546" t="s">
        <v>21</v>
      </c>
      <c r="E1546" t="s">
        <v>22</v>
      </c>
      <c r="F1546" t="s">
        <v>23</v>
      </c>
      <c r="G1546" t="s">
        <v>24</v>
      </c>
      <c r="H1546" t="s">
        <v>20</v>
      </c>
      <c r="I1546" t="s">
        <v>24</v>
      </c>
      <c r="J1546" t="s">
        <v>20</v>
      </c>
    </row>
    <row r="1547" spans="1:10" x14ac:dyDescent="0.25">
      <c r="A1547" t="s">
        <v>1209</v>
      </c>
      <c r="B1547" t="s">
        <v>1210</v>
      </c>
      <c r="C1547" s="2">
        <v>75404</v>
      </c>
      <c r="D1547" s="2">
        <v>81203</v>
      </c>
      <c r="E1547" s="2">
        <v>81432</v>
      </c>
      <c r="F1547" s="2">
        <v>85504</v>
      </c>
      <c r="G1547" s="2">
        <v>58882</v>
      </c>
      <c r="H1547" s="2">
        <v>22290</v>
      </c>
      <c r="I1547" t="s">
        <v>22</v>
      </c>
      <c r="J1547" t="s">
        <v>22</v>
      </c>
    </row>
    <row r="1548" spans="1:10" x14ac:dyDescent="0.25">
      <c r="A1548" t="s">
        <v>1211</v>
      </c>
      <c r="B1548" t="s">
        <v>1212</v>
      </c>
      <c r="C1548" s="2">
        <v>97896</v>
      </c>
      <c r="D1548" s="2">
        <v>103235</v>
      </c>
      <c r="E1548" s="2">
        <v>109839</v>
      </c>
      <c r="F1548" s="2">
        <v>54600</v>
      </c>
      <c r="G1548" s="2">
        <v>20386</v>
      </c>
      <c r="H1548" s="2">
        <v>17218</v>
      </c>
      <c r="I1548" t="s">
        <v>22</v>
      </c>
      <c r="J1548" t="s">
        <v>22</v>
      </c>
    </row>
    <row r="1549" spans="1:10" x14ac:dyDescent="0.25">
      <c r="A1549" t="s">
        <v>1213</v>
      </c>
      <c r="B1549" t="s">
        <v>1214</v>
      </c>
      <c r="C1549" s="2">
        <v>243801</v>
      </c>
      <c r="D1549" s="2">
        <v>221000</v>
      </c>
      <c r="E1549" s="2">
        <v>283319</v>
      </c>
      <c r="F1549" s="2">
        <v>370118</v>
      </c>
      <c r="G1549" s="2">
        <v>183826</v>
      </c>
      <c r="H1549" s="2">
        <v>61798</v>
      </c>
      <c r="I1549" t="s">
        <v>22</v>
      </c>
      <c r="J1549" t="s">
        <v>22</v>
      </c>
    </row>
    <row r="1550" spans="1:10" x14ac:dyDescent="0.25">
      <c r="A1550" t="s">
        <v>1215</v>
      </c>
      <c r="B1550" t="s">
        <v>1216</v>
      </c>
      <c r="C1550">
        <v>0</v>
      </c>
      <c r="D1550">
        <v>0</v>
      </c>
      <c r="E1550">
        <v>0</v>
      </c>
      <c r="F1550">
        <v>0</v>
      </c>
      <c r="G1550">
        <v>0</v>
      </c>
      <c r="H1550">
        <v>0</v>
      </c>
      <c r="I1550" t="s">
        <v>22</v>
      </c>
      <c r="J1550" t="s">
        <v>22</v>
      </c>
    </row>
    <row r="1551" spans="1:10" x14ac:dyDescent="0.25">
      <c r="A1551" t="s">
        <v>1217</v>
      </c>
      <c r="B1551" t="s">
        <v>1216</v>
      </c>
      <c r="C1551">
        <v>0</v>
      </c>
      <c r="D1551">
        <v>0</v>
      </c>
      <c r="E1551">
        <v>0</v>
      </c>
      <c r="F1551">
        <v>0</v>
      </c>
      <c r="G1551">
        <v>0</v>
      </c>
      <c r="H1551">
        <v>0</v>
      </c>
      <c r="I1551" t="s">
        <v>22</v>
      </c>
      <c r="J1551" t="s">
        <v>22</v>
      </c>
    </row>
    <row r="1552" spans="1:10" x14ac:dyDescent="0.25">
      <c r="A1552" t="s">
        <v>1218</v>
      </c>
      <c r="B1552" t="s">
        <v>436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v>0</v>
      </c>
      <c r="I1552" t="s">
        <v>22</v>
      </c>
      <c r="J1552" t="s">
        <v>22</v>
      </c>
    </row>
    <row r="1553" spans="1:10" x14ac:dyDescent="0.25">
      <c r="A1553" t="s">
        <v>1219</v>
      </c>
      <c r="B1553" t="s">
        <v>607</v>
      </c>
      <c r="C1553">
        <v>0</v>
      </c>
      <c r="D1553">
        <v>0</v>
      </c>
      <c r="E1553">
        <v>0</v>
      </c>
      <c r="F1553">
        <v>0</v>
      </c>
      <c r="G1553">
        <v>0</v>
      </c>
      <c r="H1553">
        <v>0</v>
      </c>
      <c r="I1553" t="s">
        <v>22</v>
      </c>
      <c r="J1553" t="s">
        <v>22</v>
      </c>
    </row>
    <row r="1554" spans="1:10" x14ac:dyDescent="0.25">
      <c r="A1554" t="s">
        <v>1220</v>
      </c>
      <c r="B1554" t="s">
        <v>1221</v>
      </c>
      <c r="C1554" s="2">
        <v>3600</v>
      </c>
      <c r="D1554" s="2">
        <v>3900</v>
      </c>
      <c r="E1554" s="2">
        <v>3900</v>
      </c>
      <c r="F1554">
        <v>0</v>
      </c>
      <c r="G1554" s="2">
        <v>2175</v>
      </c>
      <c r="H1554">
        <v>100</v>
      </c>
      <c r="I1554" t="s">
        <v>22</v>
      </c>
      <c r="J1554" t="s">
        <v>22</v>
      </c>
    </row>
    <row r="1555" spans="1:10" x14ac:dyDescent="0.25">
      <c r="C1555" t="s">
        <v>108</v>
      </c>
      <c r="D1555" t="s">
        <v>108</v>
      </c>
      <c r="E1555" t="s">
        <v>108</v>
      </c>
      <c r="F1555" t="s">
        <v>108</v>
      </c>
      <c r="G1555" t="s">
        <v>108</v>
      </c>
    </row>
    <row r="1556" spans="1:10" x14ac:dyDescent="0.25">
      <c r="H1556" t="s">
        <v>22</v>
      </c>
      <c r="I1556" t="s">
        <v>22</v>
      </c>
      <c r="J1556" t="s">
        <v>22</v>
      </c>
    </row>
    <row r="1557" spans="1:10" x14ac:dyDescent="0.25">
      <c r="A1557" t="s">
        <v>109</v>
      </c>
    </row>
    <row r="1558" spans="1:10" x14ac:dyDescent="0.25">
      <c r="B1558" t="s">
        <v>441</v>
      </c>
      <c r="C1558" s="2">
        <v>663943</v>
      </c>
      <c r="D1558" s="2">
        <v>641020</v>
      </c>
      <c r="E1558" s="2">
        <v>738301</v>
      </c>
      <c r="F1558" s="2">
        <v>827426</v>
      </c>
      <c r="G1558" s="2">
        <v>427400</v>
      </c>
      <c r="H1558" s="2">
        <v>159276</v>
      </c>
    </row>
    <row r="1560" spans="1:10" x14ac:dyDescent="0.25">
      <c r="A1560" t="s">
        <v>442</v>
      </c>
      <c r="B1560" t="s">
        <v>443</v>
      </c>
    </row>
    <row r="1561" spans="1:10" x14ac:dyDescent="0.25">
      <c r="A1561" t="s">
        <v>18</v>
      </c>
      <c r="B1561" t="s">
        <v>21</v>
      </c>
    </row>
    <row r="1562" spans="1:10" x14ac:dyDescent="0.25">
      <c r="A1562" t="s">
        <v>1222</v>
      </c>
      <c r="B1562" t="s">
        <v>445</v>
      </c>
      <c r="C1562" s="2">
        <v>11500</v>
      </c>
      <c r="D1562" s="2">
        <v>16100</v>
      </c>
      <c r="E1562" s="2">
        <v>19831</v>
      </c>
      <c r="F1562" s="2">
        <v>21815</v>
      </c>
      <c r="G1562" s="2">
        <v>18223</v>
      </c>
      <c r="H1562" s="2">
        <v>4820</v>
      </c>
      <c r="I1562" t="s">
        <v>22</v>
      </c>
      <c r="J1562" t="s">
        <v>22</v>
      </c>
    </row>
    <row r="1563" spans="1:10" x14ac:dyDescent="0.25">
      <c r="A1563" t="s">
        <v>1223</v>
      </c>
      <c r="B1563" t="s">
        <v>1224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v>0</v>
      </c>
      <c r="I1563" t="s">
        <v>22</v>
      </c>
      <c r="J1563" t="s">
        <v>22</v>
      </c>
    </row>
    <row r="1564" spans="1:10" x14ac:dyDescent="0.25">
      <c r="A1564" t="s">
        <v>1225</v>
      </c>
      <c r="B1564" t="s">
        <v>447</v>
      </c>
      <c r="C1564" s="2">
        <v>8155</v>
      </c>
      <c r="D1564" s="2">
        <v>11656</v>
      </c>
      <c r="E1564" s="2">
        <v>4490</v>
      </c>
      <c r="F1564" s="2">
        <v>12276</v>
      </c>
      <c r="G1564" s="2">
        <v>4501</v>
      </c>
      <c r="H1564" s="2">
        <v>3200</v>
      </c>
      <c r="I1564" t="s">
        <v>22</v>
      </c>
      <c r="J1564" t="s">
        <v>22</v>
      </c>
    </row>
    <row r="1565" spans="1:10" x14ac:dyDescent="0.25">
      <c r="A1565" t="s">
        <v>1226</v>
      </c>
      <c r="B1565" t="s">
        <v>449</v>
      </c>
      <c r="C1565">
        <v>547</v>
      </c>
      <c r="D1565">
        <v>633</v>
      </c>
      <c r="E1565">
        <v>0</v>
      </c>
      <c r="F1565">
        <v>500</v>
      </c>
      <c r="G1565">
        <v>0</v>
      </c>
      <c r="H1565" s="2">
        <v>2500</v>
      </c>
      <c r="I1565" t="s">
        <v>22</v>
      </c>
      <c r="J1565" t="s">
        <v>22</v>
      </c>
    </row>
    <row r="1566" spans="1:10" x14ac:dyDescent="0.25">
      <c r="A1566" t="s">
        <v>1227</v>
      </c>
      <c r="B1566" t="s">
        <v>451</v>
      </c>
      <c r="C1566">
        <v>0</v>
      </c>
      <c r="D1566" s="2">
        <v>4200</v>
      </c>
      <c r="E1566">
        <v>450</v>
      </c>
      <c r="F1566" s="2">
        <v>5500</v>
      </c>
      <c r="G1566">
        <v>7</v>
      </c>
      <c r="H1566">
        <v>400</v>
      </c>
      <c r="I1566" t="s">
        <v>22</v>
      </c>
      <c r="J1566" t="s">
        <v>22</v>
      </c>
    </row>
    <row r="1567" spans="1:10" x14ac:dyDescent="0.25">
      <c r="A1567" t="s">
        <v>1228</v>
      </c>
      <c r="B1567" t="s">
        <v>457</v>
      </c>
      <c r="C1567">
        <v>312</v>
      </c>
      <c r="D1567">
        <v>326</v>
      </c>
      <c r="E1567">
        <v>84</v>
      </c>
      <c r="F1567">
        <v>350</v>
      </c>
      <c r="G1567">
        <v>84</v>
      </c>
      <c r="H1567">
        <v>250</v>
      </c>
      <c r="I1567" t="s">
        <v>22</v>
      </c>
      <c r="J1567" t="s">
        <v>22</v>
      </c>
    </row>
    <row r="1568" spans="1:10" x14ac:dyDescent="0.25">
      <c r="A1568" t="s">
        <v>1229</v>
      </c>
      <c r="B1568" t="s">
        <v>619</v>
      </c>
      <c r="C1568">
        <v>0</v>
      </c>
      <c r="D1568">
        <v>0</v>
      </c>
      <c r="E1568">
        <v>0</v>
      </c>
      <c r="F1568">
        <v>0</v>
      </c>
      <c r="G1568">
        <v>0</v>
      </c>
      <c r="H1568" s="2">
        <v>1000</v>
      </c>
      <c r="I1568" t="s">
        <v>22</v>
      </c>
      <c r="J1568" t="s">
        <v>22</v>
      </c>
    </row>
    <row r="1569" spans="1:10" x14ac:dyDescent="0.25">
      <c r="A1569" t="s">
        <v>1230</v>
      </c>
      <c r="B1569" t="s">
        <v>461</v>
      </c>
      <c r="C1569">
        <v>0</v>
      </c>
      <c r="D1569">
        <v>0</v>
      </c>
      <c r="E1569">
        <v>0</v>
      </c>
      <c r="F1569">
        <v>0</v>
      </c>
      <c r="G1569">
        <v>0</v>
      </c>
      <c r="H1569">
        <v>400</v>
      </c>
      <c r="I1569" t="s">
        <v>22</v>
      </c>
      <c r="J1569" t="s">
        <v>22</v>
      </c>
    </row>
    <row r="1570" spans="1:10" x14ac:dyDescent="0.25">
      <c r="A1570" t="s">
        <v>1231</v>
      </c>
      <c r="B1570" t="s">
        <v>1232</v>
      </c>
      <c r="C1570" s="2">
        <v>3457</v>
      </c>
      <c r="D1570" s="2">
        <v>1541</v>
      </c>
      <c r="E1570" s="2">
        <v>1828</v>
      </c>
      <c r="F1570" s="2">
        <v>3000</v>
      </c>
      <c r="G1570">
        <v>0</v>
      </c>
      <c r="H1570">
        <v>250</v>
      </c>
      <c r="I1570" t="s">
        <v>22</v>
      </c>
      <c r="J1570" t="s">
        <v>22</v>
      </c>
    </row>
    <row r="1571" spans="1:10" x14ac:dyDescent="0.25">
      <c r="A1571" t="s">
        <v>1233</v>
      </c>
      <c r="B1571" t="s">
        <v>471</v>
      </c>
      <c r="C1571">
        <v>575</v>
      </c>
      <c r="D1571" s="2">
        <v>1250</v>
      </c>
      <c r="E1571">
        <v>883</v>
      </c>
      <c r="F1571">
        <v>955</v>
      </c>
      <c r="G1571">
        <v>980</v>
      </c>
      <c r="H1571">
        <v>0</v>
      </c>
      <c r="I1571" t="s">
        <v>22</v>
      </c>
      <c r="J1571" t="s">
        <v>22</v>
      </c>
    </row>
    <row r="1572" spans="1:10" x14ac:dyDescent="0.25">
      <c r="A1572" t="s">
        <v>1234</v>
      </c>
      <c r="B1572" t="s">
        <v>1047</v>
      </c>
      <c r="C1572" s="2">
        <v>83589</v>
      </c>
      <c r="D1572" s="2">
        <v>82874</v>
      </c>
      <c r="E1572" s="2">
        <v>82707</v>
      </c>
      <c r="F1572" s="2">
        <v>75000</v>
      </c>
      <c r="G1572" s="2">
        <v>51263</v>
      </c>
      <c r="H1572" s="2">
        <v>38000</v>
      </c>
      <c r="I1572" t="s">
        <v>22</v>
      </c>
      <c r="J1572" t="s">
        <v>22</v>
      </c>
    </row>
    <row r="1573" spans="1:10" x14ac:dyDescent="0.25">
      <c r="A1573" t="s">
        <v>1235</v>
      </c>
      <c r="B1573" t="s">
        <v>1236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v>0</v>
      </c>
      <c r="I1573" t="s">
        <v>22</v>
      </c>
      <c r="J1573" t="s">
        <v>22</v>
      </c>
    </row>
    <row r="1574" spans="1:10" x14ac:dyDescent="0.25">
      <c r="A1574" t="s">
        <v>1237</v>
      </c>
      <c r="B1574" t="s">
        <v>473</v>
      </c>
      <c r="C1574" s="2">
        <v>2963</v>
      </c>
      <c r="D1574" s="2">
        <v>2279</v>
      </c>
      <c r="E1574" s="2">
        <v>2533</v>
      </c>
      <c r="F1574" s="2">
        <v>5000</v>
      </c>
      <c r="G1574" s="2">
        <v>9966</v>
      </c>
      <c r="H1574" s="2">
        <v>14000</v>
      </c>
      <c r="I1574" t="s">
        <v>22</v>
      </c>
      <c r="J1574" t="s">
        <v>22</v>
      </c>
    </row>
    <row r="1575" spans="1:10" x14ac:dyDescent="0.25">
      <c r="A1575" t="s">
        <v>1238</v>
      </c>
      <c r="B1575" t="s">
        <v>1239</v>
      </c>
      <c r="C1575">
        <v>55</v>
      </c>
      <c r="D1575">
        <v>0</v>
      </c>
      <c r="E1575">
        <v>90</v>
      </c>
      <c r="F1575">
        <v>0</v>
      </c>
      <c r="G1575">
        <v>0</v>
      </c>
      <c r="H1575">
        <v>0</v>
      </c>
      <c r="I1575" t="s">
        <v>22</v>
      </c>
      <c r="J1575" t="s">
        <v>22</v>
      </c>
    </row>
    <row r="1576" spans="1:10" x14ac:dyDescent="0.25">
      <c r="A1576" t="s">
        <v>1240</v>
      </c>
      <c r="B1576" t="s">
        <v>1241</v>
      </c>
      <c r="C1576" s="2">
        <v>3150</v>
      </c>
      <c r="D1576" s="2">
        <v>3692</v>
      </c>
      <c r="E1576" s="2">
        <v>1211</v>
      </c>
      <c r="F1576">
        <v>0</v>
      </c>
      <c r="G1576">
        <v>610</v>
      </c>
      <c r="H1576">
        <v>0</v>
      </c>
      <c r="I1576" t="s">
        <v>22</v>
      </c>
      <c r="J1576" t="s">
        <v>22</v>
      </c>
    </row>
    <row r="1577" spans="1:10" x14ac:dyDescent="0.25">
      <c r="A1577" t="s">
        <v>1242</v>
      </c>
      <c r="B1577" t="s">
        <v>626</v>
      </c>
      <c r="C1577" s="2">
        <v>30112</v>
      </c>
      <c r="D1577" s="2">
        <v>21590</v>
      </c>
      <c r="E1577" s="2">
        <v>29153</v>
      </c>
      <c r="F1577" s="2">
        <v>30000</v>
      </c>
      <c r="G1577" s="2">
        <v>8683</v>
      </c>
      <c r="H1577">
        <v>0</v>
      </c>
      <c r="I1577" t="s">
        <v>22</v>
      </c>
      <c r="J1577" t="s">
        <v>22</v>
      </c>
    </row>
    <row r="1578" spans="1:10" x14ac:dyDescent="0.25">
      <c r="A1578" t="s">
        <v>1243</v>
      </c>
      <c r="B1578" t="s">
        <v>1244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v>0</v>
      </c>
      <c r="I1578" t="s">
        <v>22</v>
      </c>
      <c r="J1578" t="s">
        <v>22</v>
      </c>
    </row>
    <row r="1579" spans="1:10" x14ac:dyDescent="0.25">
      <c r="A1579" t="s">
        <v>1245</v>
      </c>
      <c r="B1579" t="s">
        <v>1246</v>
      </c>
      <c r="C1579" s="2">
        <v>2467</v>
      </c>
      <c r="D1579" s="2">
        <v>3813</v>
      </c>
      <c r="E1579" s="2">
        <v>1297</v>
      </c>
      <c r="F1579" s="2">
        <v>2500</v>
      </c>
      <c r="G1579" s="2">
        <v>6201</v>
      </c>
      <c r="H1579">
        <v>0</v>
      </c>
      <c r="I1579" t="s">
        <v>22</v>
      </c>
      <c r="J1579" t="s">
        <v>22</v>
      </c>
    </row>
    <row r="1580" spans="1:10" x14ac:dyDescent="0.25">
      <c r="A1580" t="s">
        <v>1247</v>
      </c>
      <c r="B1580" t="s">
        <v>475</v>
      </c>
      <c r="C1580">
        <v>8</v>
      </c>
      <c r="D1580">
        <v>3</v>
      </c>
      <c r="E1580">
        <v>66</v>
      </c>
      <c r="F1580">
        <v>500</v>
      </c>
      <c r="G1580">
        <v>11</v>
      </c>
      <c r="H1580">
        <v>0</v>
      </c>
      <c r="I1580" t="s">
        <v>22</v>
      </c>
      <c r="J1580" t="s">
        <v>22</v>
      </c>
    </row>
    <row r="1581" spans="1:10" x14ac:dyDescent="0.25">
      <c r="A1581" t="s">
        <v>1248</v>
      </c>
      <c r="B1581" t="s">
        <v>477</v>
      </c>
      <c r="C1581">
        <v>0</v>
      </c>
      <c r="D1581">
        <v>0</v>
      </c>
      <c r="E1581">
        <v>0</v>
      </c>
      <c r="F1581">
        <v>500</v>
      </c>
      <c r="G1581">
        <v>0</v>
      </c>
      <c r="H1581">
        <v>0</v>
      </c>
      <c r="I1581" t="s">
        <v>22</v>
      </c>
      <c r="J1581" t="s">
        <v>22</v>
      </c>
    </row>
    <row r="1582" spans="1:10" x14ac:dyDescent="0.25">
      <c r="C1582" t="s">
        <v>108</v>
      </c>
      <c r="D1582" t="s">
        <v>108</v>
      </c>
      <c r="E1582" t="s">
        <v>108</v>
      </c>
      <c r="F1582" t="s">
        <v>108</v>
      </c>
      <c r="G1582" t="s">
        <v>108</v>
      </c>
    </row>
    <row r="1583" spans="1:10" x14ac:dyDescent="0.25">
      <c r="H1583" t="s">
        <v>22</v>
      </c>
      <c r="I1583" t="s">
        <v>22</v>
      </c>
      <c r="J1583" t="s">
        <v>22</v>
      </c>
    </row>
    <row r="1584" spans="1:10" x14ac:dyDescent="0.25">
      <c r="A1584" t="s">
        <v>109</v>
      </c>
    </row>
    <row r="1585" spans="1:10" x14ac:dyDescent="0.25">
      <c r="B1585" t="s">
        <v>478</v>
      </c>
      <c r="C1585" s="2">
        <v>146890</v>
      </c>
      <c r="D1585" s="2">
        <v>149956</v>
      </c>
      <c r="E1585" s="2">
        <v>144623</v>
      </c>
      <c r="F1585" s="2">
        <v>157896</v>
      </c>
      <c r="G1585" s="2">
        <v>100528</v>
      </c>
      <c r="H1585" s="2">
        <v>64820</v>
      </c>
    </row>
    <row r="1587" spans="1:10" x14ac:dyDescent="0.25">
      <c r="A1587" t="s">
        <v>489</v>
      </c>
    </row>
    <row r="1588" spans="1:10" x14ac:dyDescent="0.25">
      <c r="A1588" t="s">
        <v>18</v>
      </c>
    </row>
    <row r="1589" spans="1:10" x14ac:dyDescent="0.25">
      <c r="A1589" t="s">
        <v>1249</v>
      </c>
      <c r="B1589" t="s">
        <v>491</v>
      </c>
      <c r="C1589">
        <v>0</v>
      </c>
      <c r="D1589">
        <v>0</v>
      </c>
      <c r="E1589">
        <v>0</v>
      </c>
      <c r="F1589">
        <v>200</v>
      </c>
      <c r="G1589">
        <v>410</v>
      </c>
      <c r="H1589">
        <v>100</v>
      </c>
      <c r="I1589" t="s">
        <v>22</v>
      </c>
      <c r="J1589" t="s">
        <v>22</v>
      </c>
    </row>
    <row r="1590" spans="1:10" x14ac:dyDescent="0.25">
      <c r="A1590" t="s">
        <v>1250</v>
      </c>
      <c r="B1590" t="s">
        <v>489</v>
      </c>
      <c r="C1590" s="2">
        <v>12834</v>
      </c>
      <c r="D1590" s="2">
        <v>14758</v>
      </c>
      <c r="E1590" s="2">
        <v>15630</v>
      </c>
      <c r="F1590" s="2">
        <v>16294</v>
      </c>
      <c r="G1590" s="2">
        <v>11825</v>
      </c>
      <c r="H1590" s="2">
        <v>2080</v>
      </c>
      <c r="I1590" t="s">
        <v>22</v>
      </c>
      <c r="J1590" t="s">
        <v>22</v>
      </c>
    </row>
    <row r="1591" spans="1:10" x14ac:dyDescent="0.25">
      <c r="A1591" t="s">
        <v>1251</v>
      </c>
      <c r="B1591" t="s">
        <v>1252</v>
      </c>
      <c r="C1591" s="2">
        <v>4231</v>
      </c>
      <c r="D1591" s="2">
        <v>5838</v>
      </c>
      <c r="E1591" s="2">
        <v>6503</v>
      </c>
      <c r="F1591" s="2">
        <v>11400</v>
      </c>
      <c r="G1591" s="2">
        <v>4633</v>
      </c>
      <c r="H1591" s="2">
        <v>4000</v>
      </c>
      <c r="I1591" t="s">
        <v>22</v>
      </c>
      <c r="J1591" t="s">
        <v>22</v>
      </c>
    </row>
    <row r="1592" spans="1:10" x14ac:dyDescent="0.25">
      <c r="A1592" t="s">
        <v>1253</v>
      </c>
      <c r="B1592" t="s">
        <v>496</v>
      </c>
      <c r="C1592" s="2">
        <v>18575</v>
      </c>
      <c r="D1592" s="2">
        <v>16103</v>
      </c>
      <c r="E1592" s="2">
        <v>14357</v>
      </c>
      <c r="F1592" s="2">
        <v>20000</v>
      </c>
      <c r="G1592" s="2">
        <v>7116</v>
      </c>
      <c r="H1592" s="2">
        <v>7875</v>
      </c>
      <c r="I1592" t="s">
        <v>22</v>
      </c>
      <c r="J1592" t="s">
        <v>22</v>
      </c>
    </row>
    <row r="1593" spans="1:10" x14ac:dyDescent="0.25">
      <c r="A1593" t="s">
        <v>1254</v>
      </c>
      <c r="B1593" t="s">
        <v>1255</v>
      </c>
      <c r="C1593" s="2">
        <v>70994</v>
      </c>
      <c r="D1593" s="2">
        <v>72665</v>
      </c>
      <c r="E1593" s="2">
        <v>140835</v>
      </c>
      <c r="F1593" s="2">
        <v>175000</v>
      </c>
      <c r="G1593" s="2">
        <v>15938</v>
      </c>
      <c r="H1593" s="2">
        <v>13000</v>
      </c>
      <c r="I1593" t="s">
        <v>22</v>
      </c>
      <c r="J1593" t="s">
        <v>22</v>
      </c>
    </row>
    <row r="1594" spans="1:10" x14ac:dyDescent="0.25">
      <c r="A1594" t="s">
        <v>1256</v>
      </c>
      <c r="B1594" t="s">
        <v>1257</v>
      </c>
      <c r="C1594" s="2">
        <v>48233</v>
      </c>
      <c r="D1594" s="2">
        <v>41972</v>
      </c>
      <c r="E1594" s="2">
        <v>10830</v>
      </c>
      <c r="F1594" s="2">
        <v>40000</v>
      </c>
      <c r="G1594" s="2">
        <v>7263</v>
      </c>
      <c r="H1594" s="2">
        <v>4500</v>
      </c>
      <c r="I1594" t="s">
        <v>22</v>
      </c>
      <c r="J1594" t="s">
        <v>22</v>
      </c>
    </row>
    <row r="1595" spans="1:10" x14ac:dyDescent="0.25">
      <c r="A1595" t="s">
        <v>1258</v>
      </c>
      <c r="B1595" t="s">
        <v>1259</v>
      </c>
      <c r="C1595">
        <v>701</v>
      </c>
      <c r="D1595" s="2">
        <v>2239</v>
      </c>
      <c r="E1595" s="2">
        <v>1279</v>
      </c>
      <c r="F1595" s="2">
        <v>2500</v>
      </c>
      <c r="G1595">
        <v>11</v>
      </c>
      <c r="H1595" s="2">
        <v>2500</v>
      </c>
      <c r="I1595" t="s">
        <v>22</v>
      </c>
      <c r="J1595" t="s">
        <v>22</v>
      </c>
    </row>
    <row r="1596" spans="1:10" x14ac:dyDescent="0.25">
      <c r="A1596" t="s">
        <v>1260</v>
      </c>
      <c r="B1596" t="s">
        <v>498</v>
      </c>
      <c r="C1596">
        <v>-32</v>
      </c>
      <c r="D1596">
        <v>0</v>
      </c>
      <c r="E1596">
        <v>0</v>
      </c>
      <c r="F1596">
        <v>0</v>
      </c>
      <c r="G1596">
        <v>0</v>
      </c>
      <c r="H1596">
        <v>0</v>
      </c>
      <c r="I1596" t="s">
        <v>22</v>
      </c>
      <c r="J1596" t="s">
        <v>22</v>
      </c>
    </row>
    <row r="1597" spans="1:10" x14ac:dyDescent="0.25">
      <c r="A1597" t="s">
        <v>1261</v>
      </c>
      <c r="B1597" t="s">
        <v>500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 t="s">
        <v>22</v>
      </c>
      <c r="J1597" t="s">
        <v>22</v>
      </c>
    </row>
    <row r="1598" spans="1:10" x14ac:dyDescent="0.25">
      <c r="C1598" t="s">
        <v>108</v>
      </c>
      <c r="D1598" t="s">
        <v>108</v>
      </c>
      <c r="E1598" t="s">
        <v>108</v>
      </c>
      <c r="F1598" t="s">
        <v>108</v>
      </c>
      <c r="G1598" t="s">
        <v>108</v>
      </c>
    </row>
    <row r="1599" spans="1:10" x14ac:dyDescent="0.25">
      <c r="H1599" t="s">
        <v>22</v>
      </c>
      <c r="I1599" t="s">
        <v>22</v>
      </c>
      <c r="J1599" t="s">
        <v>22</v>
      </c>
    </row>
    <row r="1600" spans="1:10" x14ac:dyDescent="0.25">
      <c r="A1600" t="s">
        <v>109</v>
      </c>
    </row>
    <row r="1601" spans="1:10" x14ac:dyDescent="0.25">
      <c r="B1601" t="s">
        <v>489</v>
      </c>
      <c r="C1601" s="2">
        <v>155536</v>
      </c>
      <c r="D1601" s="2">
        <v>153574</v>
      </c>
      <c r="E1601" s="2">
        <v>189433</v>
      </c>
      <c r="F1601" s="2">
        <v>265394</v>
      </c>
      <c r="G1601" s="2">
        <v>47197</v>
      </c>
      <c r="H1601" s="2">
        <v>34055</v>
      </c>
    </row>
    <row r="1602" spans="1:10" x14ac:dyDescent="0.25">
      <c r="A1602" t="s">
        <v>110</v>
      </c>
    </row>
    <row r="1603" spans="1:10" x14ac:dyDescent="0.25">
      <c r="A1603" s="1">
        <v>43991</v>
      </c>
      <c r="B1603" t="s">
        <v>111</v>
      </c>
      <c r="D1603" t="s">
        <v>112</v>
      </c>
      <c r="E1603" t="s">
        <v>113</v>
      </c>
      <c r="F1603" t="s">
        <v>114</v>
      </c>
      <c r="J1603" t="s">
        <v>1262</v>
      </c>
    </row>
    <row r="1604" spans="1:10" x14ac:dyDescent="0.25">
      <c r="D1604" t="s">
        <v>116</v>
      </c>
      <c r="E1604" t="s">
        <v>117</v>
      </c>
      <c r="F1604" t="s">
        <v>118</v>
      </c>
    </row>
    <row r="1605" spans="1:10" x14ac:dyDescent="0.25">
      <c r="D1605" t="s">
        <v>119</v>
      </c>
      <c r="E1605" t="s">
        <v>120</v>
      </c>
      <c r="F1605" t="s">
        <v>121</v>
      </c>
    </row>
    <row r="1606" spans="1:10" x14ac:dyDescent="0.25">
      <c r="A1606" t="s">
        <v>122</v>
      </c>
      <c r="B1606" t="s">
        <v>123</v>
      </c>
    </row>
    <row r="1607" spans="1:10" x14ac:dyDescent="0.25">
      <c r="A1607" t="s">
        <v>386</v>
      </c>
    </row>
    <row r="1608" spans="1:10" x14ac:dyDescent="0.25">
      <c r="F1608" t="s">
        <v>2</v>
      </c>
      <c r="G1608" t="s">
        <v>3</v>
      </c>
      <c r="H1608" t="s">
        <v>4</v>
      </c>
      <c r="I1608" t="s">
        <v>5</v>
      </c>
      <c r="J1608" t="s">
        <v>6</v>
      </c>
    </row>
    <row r="1609" spans="1:10" x14ac:dyDescent="0.25">
      <c r="C1609" t="s">
        <v>7</v>
      </c>
      <c r="D1609" t="s">
        <v>8</v>
      </c>
      <c r="E1609" t="s">
        <v>9</v>
      </c>
      <c r="F1609" t="s">
        <v>10</v>
      </c>
      <c r="G1609" t="s">
        <v>124</v>
      </c>
      <c r="H1609" t="s">
        <v>12</v>
      </c>
      <c r="I1609" t="s">
        <v>13</v>
      </c>
      <c r="J1609" t="s">
        <v>14</v>
      </c>
    </row>
    <row r="1610" spans="1:10" x14ac:dyDescent="0.25">
      <c r="C1610" t="s">
        <v>15</v>
      </c>
      <c r="D1610" t="s">
        <v>15</v>
      </c>
      <c r="E1610" t="s">
        <v>15</v>
      </c>
      <c r="F1610" t="s">
        <v>16</v>
      </c>
      <c r="G1610" t="s">
        <v>15</v>
      </c>
      <c r="H1610" t="s">
        <v>17</v>
      </c>
      <c r="I1610" t="s">
        <v>16</v>
      </c>
      <c r="J1610" t="s">
        <v>16</v>
      </c>
    </row>
    <row r="1611" spans="1:10" x14ac:dyDescent="0.25">
      <c r="A1611" t="s">
        <v>18</v>
      </c>
      <c r="B1611" t="s">
        <v>19</v>
      </c>
      <c r="C1611" t="s">
        <v>20</v>
      </c>
      <c r="D1611" t="s">
        <v>21</v>
      </c>
      <c r="E1611" t="s">
        <v>22</v>
      </c>
      <c r="F1611" t="s">
        <v>23</v>
      </c>
      <c r="G1611" t="s">
        <v>24</v>
      </c>
      <c r="H1611" t="s">
        <v>20</v>
      </c>
      <c r="I1611" t="s">
        <v>24</v>
      </c>
      <c r="J1611" t="s">
        <v>20</v>
      </c>
    </row>
    <row r="1613" spans="1:10" x14ac:dyDescent="0.25">
      <c r="A1613" t="s">
        <v>501</v>
      </c>
    </row>
    <row r="1614" spans="1:10" x14ac:dyDescent="0.25">
      <c r="A1614" t="s">
        <v>18</v>
      </c>
    </row>
    <row r="1615" spans="1:10" x14ac:dyDescent="0.25">
      <c r="A1615" t="s">
        <v>1263</v>
      </c>
      <c r="B1615" t="s">
        <v>503</v>
      </c>
      <c r="C1615" s="2">
        <v>24957</v>
      </c>
      <c r="D1615">
        <v>0</v>
      </c>
      <c r="E1615">
        <v>0</v>
      </c>
      <c r="F1615" s="2">
        <v>1000</v>
      </c>
      <c r="G1615">
        <v>0</v>
      </c>
      <c r="H1615">
        <v>0</v>
      </c>
      <c r="I1615" t="s">
        <v>22</v>
      </c>
      <c r="J1615" t="s">
        <v>22</v>
      </c>
    </row>
    <row r="1616" spans="1:10" x14ac:dyDescent="0.25">
      <c r="A1616" t="s">
        <v>1264</v>
      </c>
      <c r="B1616" t="s">
        <v>1265</v>
      </c>
      <c r="C1616">
        <v>0</v>
      </c>
      <c r="D1616" s="2">
        <v>99106</v>
      </c>
      <c r="E1616" s="2">
        <v>200894</v>
      </c>
      <c r="F1616">
        <v>0</v>
      </c>
      <c r="G1616">
        <v>0</v>
      </c>
      <c r="H1616">
        <v>500</v>
      </c>
      <c r="I1616" t="s">
        <v>22</v>
      </c>
      <c r="J1616" t="s">
        <v>22</v>
      </c>
    </row>
    <row r="1617" spans="1:10" x14ac:dyDescent="0.25">
      <c r="A1617" t="s">
        <v>1266</v>
      </c>
      <c r="B1617" t="s">
        <v>509</v>
      </c>
      <c r="C1617" s="2">
        <v>20189</v>
      </c>
      <c r="D1617">
        <v>0</v>
      </c>
      <c r="E1617">
        <v>0</v>
      </c>
      <c r="F1617" s="2">
        <v>15000</v>
      </c>
      <c r="G1617">
        <v>0</v>
      </c>
      <c r="H1617">
        <v>0</v>
      </c>
      <c r="I1617" t="s">
        <v>22</v>
      </c>
      <c r="J1617" t="s">
        <v>22</v>
      </c>
    </row>
    <row r="1618" spans="1:10" x14ac:dyDescent="0.25">
      <c r="A1618" t="s">
        <v>1267</v>
      </c>
      <c r="B1618" t="s">
        <v>519</v>
      </c>
      <c r="C1618" s="2">
        <v>1900</v>
      </c>
      <c r="D1618">
        <v>120</v>
      </c>
      <c r="E1618" s="2">
        <v>1900</v>
      </c>
      <c r="F1618" s="2">
        <v>1900</v>
      </c>
      <c r="G1618">
        <v>0</v>
      </c>
      <c r="H1618" s="2">
        <v>8000</v>
      </c>
      <c r="I1618" t="s">
        <v>22</v>
      </c>
      <c r="J1618" t="s">
        <v>22</v>
      </c>
    </row>
    <row r="1619" spans="1:10" x14ac:dyDescent="0.25">
      <c r="A1619" t="s">
        <v>1268</v>
      </c>
      <c r="B1619" t="s">
        <v>521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0</v>
      </c>
      <c r="I1619" t="s">
        <v>22</v>
      </c>
      <c r="J1619" t="s">
        <v>22</v>
      </c>
    </row>
    <row r="1620" spans="1:10" x14ac:dyDescent="0.25">
      <c r="A1620" t="s">
        <v>1269</v>
      </c>
      <c r="B1620" t="s">
        <v>1085</v>
      </c>
      <c r="C1620">
        <v>567</v>
      </c>
      <c r="D1620">
        <v>93</v>
      </c>
      <c r="E1620">
        <v>0</v>
      </c>
      <c r="F1620">
        <v>0</v>
      </c>
      <c r="G1620">
        <v>0</v>
      </c>
      <c r="H1620" s="2">
        <v>100000</v>
      </c>
      <c r="I1620" t="s">
        <v>22</v>
      </c>
      <c r="J1620" t="s">
        <v>22</v>
      </c>
    </row>
    <row r="1621" spans="1:10" x14ac:dyDescent="0.25">
      <c r="A1621" t="s">
        <v>1270</v>
      </c>
      <c r="B1621" t="s">
        <v>1271</v>
      </c>
      <c r="C1621">
        <v>0</v>
      </c>
      <c r="D1621">
        <v>0</v>
      </c>
      <c r="E1621">
        <v>0</v>
      </c>
      <c r="F1621">
        <v>0</v>
      </c>
      <c r="G1621">
        <v>0</v>
      </c>
      <c r="H1621">
        <v>750</v>
      </c>
      <c r="I1621" t="s">
        <v>22</v>
      </c>
      <c r="J1621" t="s">
        <v>22</v>
      </c>
    </row>
    <row r="1622" spans="1:10" x14ac:dyDescent="0.25">
      <c r="A1622" t="s">
        <v>1272</v>
      </c>
      <c r="B1622" t="s">
        <v>1273</v>
      </c>
      <c r="C1622">
        <v>0</v>
      </c>
      <c r="D1622">
        <v>0</v>
      </c>
      <c r="E1622">
        <v>0</v>
      </c>
      <c r="F1622" s="2">
        <v>2500</v>
      </c>
      <c r="G1622">
        <v>0</v>
      </c>
      <c r="H1622">
        <v>750</v>
      </c>
      <c r="I1622" t="s">
        <v>22</v>
      </c>
      <c r="J1622" t="s">
        <v>22</v>
      </c>
    </row>
    <row r="1623" spans="1:10" x14ac:dyDescent="0.25">
      <c r="A1623" t="s">
        <v>1274</v>
      </c>
      <c r="B1623" t="s">
        <v>1275</v>
      </c>
      <c r="C1623">
        <v>0</v>
      </c>
      <c r="D1623">
        <v>0</v>
      </c>
      <c r="E1623">
        <v>0</v>
      </c>
      <c r="F1623">
        <v>0</v>
      </c>
      <c r="G1623">
        <v>0</v>
      </c>
      <c r="H1623" s="2">
        <v>150000</v>
      </c>
      <c r="I1623" t="s">
        <v>22</v>
      </c>
      <c r="J1623" t="s">
        <v>22</v>
      </c>
    </row>
    <row r="1624" spans="1:10" x14ac:dyDescent="0.25">
      <c r="A1624" t="s">
        <v>1276</v>
      </c>
      <c r="B1624" t="s">
        <v>1277</v>
      </c>
      <c r="C1624" s="2">
        <v>44600</v>
      </c>
      <c r="D1624">
        <v>0</v>
      </c>
      <c r="E1624">
        <v>0</v>
      </c>
      <c r="F1624">
        <v>0</v>
      </c>
      <c r="G1624">
        <v>0</v>
      </c>
      <c r="H1624" s="2">
        <v>50192</v>
      </c>
      <c r="I1624" t="s">
        <v>22</v>
      </c>
      <c r="J1624" t="s">
        <v>22</v>
      </c>
    </row>
    <row r="1625" spans="1:10" x14ac:dyDescent="0.25">
      <c r="A1625" t="s">
        <v>1278</v>
      </c>
      <c r="B1625" t="s">
        <v>1279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0</v>
      </c>
      <c r="I1625" t="s">
        <v>22</v>
      </c>
      <c r="J1625" t="s">
        <v>22</v>
      </c>
    </row>
    <row r="1626" spans="1:10" x14ac:dyDescent="0.25">
      <c r="A1626" t="s">
        <v>1280</v>
      </c>
      <c r="B1626" t="s">
        <v>312</v>
      </c>
      <c r="C1626">
        <v>0</v>
      </c>
      <c r="D1626">
        <v>0</v>
      </c>
      <c r="E1626">
        <v>0</v>
      </c>
      <c r="F1626">
        <v>0</v>
      </c>
      <c r="G1626">
        <v>0</v>
      </c>
      <c r="H1626">
        <v>0</v>
      </c>
      <c r="I1626" t="s">
        <v>22</v>
      </c>
      <c r="J1626" t="s">
        <v>22</v>
      </c>
    </row>
    <row r="1627" spans="1:10" x14ac:dyDescent="0.25">
      <c r="C1627" t="s">
        <v>108</v>
      </c>
      <c r="D1627" t="s">
        <v>108</v>
      </c>
      <c r="E1627" t="s">
        <v>108</v>
      </c>
      <c r="F1627" t="s">
        <v>108</v>
      </c>
      <c r="G1627" t="s">
        <v>108</v>
      </c>
    </row>
    <row r="1628" spans="1:10" x14ac:dyDescent="0.25">
      <c r="H1628" t="s">
        <v>22</v>
      </c>
      <c r="I1628" t="s">
        <v>22</v>
      </c>
      <c r="J1628" t="s">
        <v>22</v>
      </c>
    </row>
    <row r="1629" spans="1:10" x14ac:dyDescent="0.25">
      <c r="A1629" t="s">
        <v>109</v>
      </c>
    </row>
    <row r="1630" spans="1:10" x14ac:dyDescent="0.25">
      <c r="B1630" t="s">
        <v>501</v>
      </c>
      <c r="C1630" s="2">
        <v>92212</v>
      </c>
      <c r="D1630" s="2">
        <v>99319</v>
      </c>
      <c r="E1630" s="2">
        <v>202794</v>
      </c>
      <c r="F1630" s="2">
        <v>20400</v>
      </c>
      <c r="G1630">
        <v>0</v>
      </c>
      <c r="H1630" s="2">
        <v>310192</v>
      </c>
    </row>
    <row r="1632" spans="1:10" x14ac:dyDescent="0.25">
      <c r="A1632" t="s">
        <v>524</v>
      </c>
      <c r="B1632" t="s">
        <v>525</v>
      </c>
    </row>
    <row r="1633" spans="1:10" x14ac:dyDescent="0.25">
      <c r="A1633" t="s">
        <v>18</v>
      </c>
      <c r="B1633" t="s">
        <v>526</v>
      </c>
    </row>
    <row r="1634" spans="1:10" x14ac:dyDescent="0.25">
      <c r="A1634" t="s">
        <v>1281</v>
      </c>
      <c r="B1634" t="s">
        <v>1282</v>
      </c>
      <c r="C1634" s="2">
        <v>83083</v>
      </c>
      <c r="D1634">
        <v>0</v>
      </c>
      <c r="E1634" s="2">
        <v>11594</v>
      </c>
      <c r="F1634" s="2">
        <v>13103</v>
      </c>
      <c r="G1634" s="2">
        <v>13017</v>
      </c>
      <c r="H1634" s="2">
        <v>8175</v>
      </c>
      <c r="I1634" t="s">
        <v>22</v>
      </c>
      <c r="J1634" t="s">
        <v>22</v>
      </c>
    </row>
    <row r="1635" spans="1:10" x14ac:dyDescent="0.25">
      <c r="A1635" t="s">
        <v>1283</v>
      </c>
      <c r="B1635" t="s">
        <v>1284</v>
      </c>
      <c r="C1635" s="2">
        <v>1907980</v>
      </c>
      <c r="D1635" s="2">
        <v>694148</v>
      </c>
      <c r="E1635" s="2">
        <v>952957</v>
      </c>
      <c r="F1635">
        <v>0</v>
      </c>
      <c r="G1635">
        <v>0</v>
      </c>
      <c r="H1635">
        <v>0</v>
      </c>
      <c r="I1635" t="s">
        <v>22</v>
      </c>
      <c r="J1635" t="s">
        <v>22</v>
      </c>
    </row>
    <row r="1636" spans="1:10" x14ac:dyDescent="0.25">
      <c r="A1636" t="s">
        <v>1285</v>
      </c>
      <c r="B1636" t="s">
        <v>660</v>
      </c>
      <c r="C1636">
        <v>0</v>
      </c>
      <c r="D1636" s="2">
        <v>52189</v>
      </c>
      <c r="E1636">
        <v>0</v>
      </c>
      <c r="F1636">
        <v>0</v>
      </c>
      <c r="G1636">
        <v>0</v>
      </c>
      <c r="H1636" s="2">
        <v>4900</v>
      </c>
      <c r="I1636" t="s">
        <v>22</v>
      </c>
      <c r="J1636" t="s">
        <v>22</v>
      </c>
    </row>
    <row r="1637" spans="1:10" x14ac:dyDescent="0.25">
      <c r="A1637" t="s">
        <v>1286</v>
      </c>
      <c r="B1637" t="s">
        <v>662</v>
      </c>
      <c r="C1637">
        <v>0</v>
      </c>
      <c r="D1637">
        <v>0</v>
      </c>
      <c r="E1637">
        <v>0</v>
      </c>
      <c r="F1637">
        <v>0</v>
      </c>
      <c r="G1637">
        <v>0</v>
      </c>
      <c r="H1637" s="2">
        <v>3500</v>
      </c>
      <c r="I1637" t="s">
        <v>22</v>
      </c>
      <c r="J1637" t="s">
        <v>22</v>
      </c>
    </row>
    <row r="1638" spans="1:10" x14ac:dyDescent="0.25">
      <c r="A1638" t="s">
        <v>1287</v>
      </c>
      <c r="B1638" t="s">
        <v>1288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v>0</v>
      </c>
      <c r="I1638" t="s">
        <v>22</v>
      </c>
      <c r="J1638" t="s">
        <v>22</v>
      </c>
    </row>
    <row r="1639" spans="1:10" x14ac:dyDescent="0.25">
      <c r="C1639" t="s">
        <v>108</v>
      </c>
      <c r="D1639" t="s">
        <v>108</v>
      </c>
      <c r="E1639" t="s">
        <v>108</v>
      </c>
      <c r="F1639" t="s">
        <v>108</v>
      </c>
      <c r="G1639" t="s">
        <v>108</v>
      </c>
    </row>
    <row r="1640" spans="1:10" x14ac:dyDescent="0.25">
      <c r="H1640" t="s">
        <v>22</v>
      </c>
      <c r="I1640" t="s">
        <v>22</v>
      </c>
      <c r="J1640" t="s">
        <v>22</v>
      </c>
    </row>
    <row r="1641" spans="1:10" x14ac:dyDescent="0.25">
      <c r="A1641" t="s">
        <v>109</v>
      </c>
    </row>
    <row r="1642" spans="1:10" x14ac:dyDescent="0.25">
      <c r="B1642" t="s">
        <v>530</v>
      </c>
      <c r="C1642" s="2">
        <v>1991063</v>
      </c>
      <c r="D1642" s="2">
        <v>746338</v>
      </c>
      <c r="E1642" s="2">
        <v>964551</v>
      </c>
      <c r="F1642" s="2">
        <v>13103</v>
      </c>
      <c r="G1642" s="2">
        <v>13017</v>
      </c>
      <c r="H1642" s="2">
        <v>16575</v>
      </c>
    </row>
    <row r="1643" spans="1:10" x14ac:dyDescent="0.25">
      <c r="A1643" t="s">
        <v>18</v>
      </c>
      <c r="B1643" t="s">
        <v>19</v>
      </c>
      <c r="C1643" t="s">
        <v>20</v>
      </c>
      <c r="D1643" t="s">
        <v>21</v>
      </c>
      <c r="E1643" t="s">
        <v>26</v>
      </c>
    </row>
    <row r="1644" spans="1:10" x14ac:dyDescent="0.25">
      <c r="E1644" t="s">
        <v>339</v>
      </c>
      <c r="F1644" t="s">
        <v>23</v>
      </c>
      <c r="G1644" t="s">
        <v>24</v>
      </c>
      <c r="H1644" t="s">
        <v>20</v>
      </c>
      <c r="I1644" t="s">
        <v>24</v>
      </c>
      <c r="J1644" t="s">
        <v>20</v>
      </c>
    </row>
    <row r="1645" spans="1:10" x14ac:dyDescent="0.25">
      <c r="A1645" t="s">
        <v>109</v>
      </c>
    </row>
    <row r="1646" spans="1:10" x14ac:dyDescent="0.25">
      <c r="A1646">
        <v>30</v>
      </c>
      <c r="B1646" t="e">
        <f>-PUBLIC WORKS STREETS</f>
        <v>#NAME?</v>
      </c>
      <c r="C1646" s="2">
        <v>3049644</v>
      </c>
      <c r="D1646" s="2">
        <v>1790207</v>
      </c>
      <c r="E1646" s="2">
        <v>2239701</v>
      </c>
      <c r="F1646" s="2">
        <v>1284218</v>
      </c>
      <c r="G1646" s="2">
        <v>588142</v>
      </c>
      <c r="H1646" s="2">
        <v>584918</v>
      </c>
    </row>
    <row r="1648" spans="1:10" x14ac:dyDescent="0.25">
      <c r="A1648" t="s">
        <v>318</v>
      </c>
      <c r="B1648" t="s">
        <v>319</v>
      </c>
    </row>
    <row r="1649" spans="1:10" x14ac:dyDescent="0.25">
      <c r="A1649" t="s">
        <v>389</v>
      </c>
      <c r="B1649" t="s">
        <v>1143</v>
      </c>
    </row>
    <row r="1651" spans="1:10" x14ac:dyDescent="0.25">
      <c r="A1651" t="s">
        <v>442</v>
      </c>
      <c r="B1651" t="s">
        <v>443</v>
      </c>
    </row>
    <row r="1652" spans="1:10" x14ac:dyDescent="0.25">
      <c r="A1652" t="s">
        <v>18</v>
      </c>
      <c r="B1652" t="s">
        <v>21</v>
      </c>
    </row>
    <row r="1653" spans="1:10" x14ac:dyDescent="0.25">
      <c r="A1653" t="s">
        <v>1289</v>
      </c>
      <c r="B1653" t="s">
        <v>445</v>
      </c>
      <c r="C1653">
        <v>167</v>
      </c>
      <c r="D1653">
        <v>139</v>
      </c>
      <c r="E1653">
        <v>435</v>
      </c>
      <c r="F1653">
        <v>479</v>
      </c>
      <c r="G1653">
        <v>458</v>
      </c>
      <c r="H1653">
        <v>0</v>
      </c>
      <c r="I1653" t="s">
        <v>22</v>
      </c>
      <c r="J1653" t="s">
        <v>22</v>
      </c>
    </row>
    <row r="1654" spans="1:10" x14ac:dyDescent="0.25">
      <c r="A1654" t="s">
        <v>1290</v>
      </c>
      <c r="B1654" t="s">
        <v>1291</v>
      </c>
      <c r="C1654">
        <v>0</v>
      </c>
      <c r="D1654">
        <v>-18</v>
      </c>
      <c r="E1654">
        <v>0</v>
      </c>
      <c r="F1654">
        <v>0</v>
      </c>
      <c r="G1654">
        <v>0</v>
      </c>
      <c r="H1654">
        <v>0</v>
      </c>
      <c r="I1654" t="s">
        <v>22</v>
      </c>
      <c r="J1654" t="s">
        <v>22</v>
      </c>
    </row>
    <row r="1655" spans="1:10" x14ac:dyDescent="0.25">
      <c r="A1655" t="s">
        <v>1292</v>
      </c>
      <c r="B1655" t="s">
        <v>449</v>
      </c>
      <c r="C1655">
        <v>0</v>
      </c>
      <c r="D1655">
        <v>546</v>
      </c>
      <c r="E1655">
        <v>0</v>
      </c>
      <c r="F1655" s="2">
        <v>1000</v>
      </c>
      <c r="G1655">
        <v>0</v>
      </c>
      <c r="H1655">
        <v>0</v>
      </c>
      <c r="I1655" t="s">
        <v>22</v>
      </c>
      <c r="J1655" t="s">
        <v>22</v>
      </c>
    </row>
    <row r="1656" spans="1:10" x14ac:dyDescent="0.25">
      <c r="A1656" t="s">
        <v>1293</v>
      </c>
      <c r="B1656" t="s">
        <v>1232</v>
      </c>
      <c r="C1656">
        <v>0</v>
      </c>
      <c r="D1656" s="2">
        <v>7368</v>
      </c>
      <c r="E1656" s="2">
        <v>10786</v>
      </c>
      <c r="F1656" s="2">
        <v>16030</v>
      </c>
      <c r="G1656">
        <v>0</v>
      </c>
      <c r="H1656">
        <v>0</v>
      </c>
      <c r="I1656" t="s">
        <v>22</v>
      </c>
      <c r="J1656" t="s">
        <v>22</v>
      </c>
    </row>
    <row r="1657" spans="1:10" x14ac:dyDescent="0.25">
      <c r="A1657" t="s">
        <v>1294</v>
      </c>
      <c r="B1657" t="s">
        <v>1047</v>
      </c>
      <c r="C1657">
        <v>481</v>
      </c>
      <c r="D1657">
        <v>512</v>
      </c>
      <c r="E1657">
        <v>492</v>
      </c>
      <c r="F1657">
        <v>500</v>
      </c>
      <c r="G1657">
        <v>319</v>
      </c>
      <c r="H1657">
        <v>0</v>
      </c>
      <c r="I1657" t="s">
        <v>22</v>
      </c>
      <c r="J1657" t="s">
        <v>22</v>
      </c>
    </row>
    <row r="1658" spans="1:10" x14ac:dyDescent="0.25">
      <c r="A1658" t="s">
        <v>1295</v>
      </c>
      <c r="B1658" t="s">
        <v>1049</v>
      </c>
      <c r="C1658">
        <v>480</v>
      </c>
      <c r="D1658">
        <v>463</v>
      </c>
      <c r="E1658">
        <v>500</v>
      </c>
      <c r="F1658">
        <v>500</v>
      </c>
      <c r="G1658">
        <v>223</v>
      </c>
      <c r="H1658">
        <v>0</v>
      </c>
      <c r="I1658" t="s">
        <v>22</v>
      </c>
      <c r="J1658" t="s">
        <v>22</v>
      </c>
    </row>
    <row r="1659" spans="1:10" x14ac:dyDescent="0.25">
      <c r="A1659" t="s">
        <v>1296</v>
      </c>
      <c r="B1659" t="s">
        <v>473</v>
      </c>
      <c r="C1659">
        <v>0</v>
      </c>
      <c r="D1659">
        <v>862</v>
      </c>
      <c r="E1659">
        <v>0</v>
      </c>
      <c r="F1659" s="2">
        <v>3000</v>
      </c>
      <c r="G1659">
        <v>0</v>
      </c>
      <c r="H1659">
        <v>0</v>
      </c>
      <c r="I1659" t="s">
        <v>22</v>
      </c>
      <c r="J1659" t="s">
        <v>22</v>
      </c>
    </row>
    <row r="1660" spans="1:10" x14ac:dyDescent="0.25">
      <c r="A1660" t="s">
        <v>1297</v>
      </c>
      <c r="B1660" t="s">
        <v>475</v>
      </c>
      <c r="C1660" s="2">
        <v>1642</v>
      </c>
      <c r="D1660" s="2">
        <v>3397</v>
      </c>
      <c r="E1660">
        <v>0</v>
      </c>
      <c r="F1660" s="2">
        <v>1000</v>
      </c>
      <c r="G1660">
        <v>274</v>
      </c>
      <c r="H1660">
        <v>0</v>
      </c>
      <c r="I1660" t="s">
        <v>22</v>
      </c>
      <c r="J1660" t="s">
        <v>22</v>
      </c>
    </row>
    <row r="1661" spans="1:10" x14ac:dyDescent="0.25">
      <c r="C1661" t="s">
        <v>108</v>
      </c>
      <c r="D1661" t="s">
        <v>108</v>
      </c>
      <c r="E1661" t="s">
        <v>108</v>
      </c>
      <c r="F1661" t="s">
        <v>108</v>
      </c>
      <c r="G1661" t="s">
        <v>108</v>
      </c>
    </row>
    <row r="1662" spans="1:10" x14ac:dyDescent="0.25">
      <c r="H1662" t="s">
        <v>22</v>
      </c>
      <c r="I1662" t="s">
        <v>22</v>
      </c>
      <c r="J1662" t="s">
        <v>22</v>
      </c>
    </row>
    <row r="1663" spans="1:10" x14ac:dyDescent="0.25">
      <c r="A1663" t="s">
        <v>109</v>
      </c>
    </row>
    <row r="1664" spans="1:10" x14ac:dyDescent="0.25">
      <c r="B1664" t="s">
        <v>478</v>
      </c>
      <c r="C1664" s="2">
        <v>2770</v>
      </c>
      <c r="D1664" s="2">
        <v>13269</v>
      </c>
      <c r="E1664" s="2">
        <v>12213</v>
      </c>
      <c r="F1664" s="2">
        <v>22509</v>
      </c>
      <c r="G1664" s="2">
        <v>1275</v>
      </c>
      <c r="H1664">
        <v>0</v>
      </c>
    </row>
    <row r="1666" spans="1:10" x14ac:dyDescent="0.25">
      <c r="A1666" t="s">
        <v>489</v>
      </c>
    </row>
    <row r="1667" spans="1:10" x14ac:dyDescent="0.25">
      <c r="A1667" t="s">
        <v>18</v>
      </c>
    </row>
    <row r="1668" spans="1:10" x14ac:dyDescent="0.25">
      <c r="A1668" t="s">
        <v>1298</v>
      </c>
      <c r="B1668" t="s">
        <v>489</v>
      </c>
      <c r="C1668" s="2">
        <v>2475</v>
      </c>
      <c r="D1668" s="2">
        <v>2725</v>
      </c>
      <c r="E1668" s="2">
        <v>2169</v>
      </c>
      <c r="F1668" s="2">
        <v>7000</v>
      </c>
      <c r="G1668" s="2">
        <v>1136</v>
      </c>
      <c r="H1668">
        <v>0</v>
      </c>
      <c r="I1668" t="s">
        <v>22</v>
      </c>
      <c r="J1668" t="s">
        <v>22</v>
      </c>
    </row>
    <row r="1669" spans="1:10" x14ac:dyDescent="0.25">
      <c r="A1669" t="s">
        <v>1299</v>
      </c>
      <c r="B1669" t="s">
        <v>496</v>
      </c>
      <c r="C1669">
        <v>0</v>
      </c>
      <c r="D1669">
        <v>0</v>
      </c>
      <c r="E1669">
        <v>0</v>
      </c>
      <c r="F1669">
        <v>0</v>
      </c>
      <c r="G1669">
        <v>0</v>
      </c>
      <c r="H1669">
        <v>0</v>
      </c>
      <c r="I1669" t="s">
        <v>22</v>
      </c>
      <c r="J1669" t="s">
        <v>22</v>
      </c>
    </row>
    <row r="1670" spans="1:10" x14ac:dyDescent="0.25">
      <c r="A1670" t="s">
        <v>1300</v>
      </c>
      <c r="B1670" t="s">
        <v>498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 t="s">
        <v>22</v>
      </c>
      <c r="J1670" t="s">
        <v>22</v>
      </c>
    </row>
    <row r="1671" spans="1:10" x14ac:dyDescent="0.25">
      <c r="A1671" t="s">
        <v>1301</v>
      </c>
      <c r="B1671" t="s">
        <v>500</v>
      </c>
      <c r="C1671">
        <v>0</v>
      </c>
      <c r="D1671" s="2">
        <v>54000</v>
      </c>
      <c r="E1671">
        <v>0</v>
      </c>
      <c r="F1671">
        <v>0</v>
      </c>
      <c r="G1671">
        <v>0</v>
      </c>
      <c r="H1671">
        <v>0</v>
      </c>
      <c r="I1671" t="s">
        <v>22</v>
      </c>
      <c r="J1671" t="s">
        <v>22</v>
      </c>
    </row>
    <row r="1672" spans="1:10" x14ac:dyDescent="0.25">
      <c r="C1672" t="s">
        <v>108</v>
      </c>
      <c r="D1672" t="s">
        <v>108</v>
      </c>
      <c r="E1672" t="s">
        <v>108</v>
      </c>
      <c r="F1672" t="s">
        <v>108</v>
      </c>
      <c r="G1672" t="s">
        <v>108</v>
      </c>
    </row>
    <row r="1673" spans="1:10" x14ac:dyDescent="0.25">
      <c r="H1673" t="s">
        <v>22</v>
      </c>
      <c r="I1673" t="s">
        <v>22</v>
      </c>
      <c r="J1673" t="s">
        <v>22</v>
      </c>
    </row>
    <row r="1674" spans="1:10" x14ac:dyDescent="0.25">
      <c r="A1674" t="s">
        <v>109</v>
      </c>
    </row>
    <row r="1675" spans="1:10" x14ac:dyDescent="0.25">
      <c r="B1675" t="s">
        <v>489</v>
      </c>
      <c r="C1675" s="2">
        <v>2475</v>
      </c>
      <c r="D1675" s="2">
        <v>56725</v>
      </c>
      <c r="E1675" s="2">
        <v>2169</v>
      </c>
      <c r="F1675" s="2">
        <v>7000</v>
      </c>
      <c r="G1675" s="2">
        <v>1136</v>
      </c>
      <c r="H1675">
        <v>0</v>
      </c>
    </row>
    <row r="1676" spans="1:10" x14ac:dyDescent="0.25">
      <c r="A1676" t="s">
        <v>110</v>
      </c>
    </row>
    <row r="1677" spans="1:10" x14ac:dyDescent="0.25">
      <c r="A1677" s="1">
        <v>43991</v>
      </c>
      <c r="B1677" t="s">
        <v>111</v>
      </c>
      <c r="D1677" t="s">
        <v>112</v>
      </c>
      <c r="E1677" t="s">
        <v>113</v>
      </c>
      <c r="F1677" t="s">
        <v>114</v>
      </c>
      <c r="J1677" t="s">
        <v>1302</v>
      </c>
    </row>
    <row r="1678" spans="1:10" x14ac:dyDescent="0.25">
      <c r="D1678" t="s">
        <v>116</v>
      </c>
      <c r="E1678" t="s">
        <v>117</v>
      </c>
      <c r="F1678" t="s">
        <v>118</v>
      </c>
    </row>
    <row r="1679" spans="1:10" x14ac:dyDescent="0.25">
      <c r="D1679" t="s">
        <v>119</v>
      </c>
      <c r="E1679" t="s">
        <v>120</v>
      </c>
      <c r="F1679" t="s">
        <v>121</v>
      </c>
    </row>
    <row r="1680" spans="1:10" x14ac:dyDescent="0.25">
      <c r="A1680" t="s">
        <v>122</v>
      </c>
      <c r="B1680" t="s">
        <v>123</v>
      </c>
    </row>
    <row r="1681" spans="1:10" x14ac:dyDescent="0.25">
      <c r="A1681" t="s">
        <v>386</v>
      </c>
    </row>
    <row r="1682" spans="1:10" x14ac:dyDescent="0.25">
      <c r="F1682" t="s">
        <v>2</v>
      </c>
      <c r="G1682" t="s">
        <v>3</v>
      </c>
      <c r="H1682" t="s">
        <v>4</v>
      </c>
      <c r="I1682" t="s">
        <v>5</v>
      </c>
      <c r="J1682" t="s">
        <v>6</v>
      </c>
    </row>
    <row r="1683" spans="1:10" x14ac:dyDescent="0.25">
      <c r="C1683" t="s">
        <v>7</v>
      </c>
      <c r="D1683" t="s">
        <v>8</v>
      </c>
      <c r="E1683" t="s">
        <v>9</v>
      </c>
      <c r="F1683" t="s">
        <v>10</v>
      </c>
      <c r="G1683" t="s">
        <v>124</v>
      </c>
      <c r="H1683" t="s">
        <v>12</v>
      </c>
      <c r="I1683" t="s">
        <v>13</v>
      </c>
      <c r="J1683" t="s">
        <v>14</v>
      </c>
    </row>
    <row r="1684" spans="1:10" x14ac:dyDescent="0.25">
      <c r="C1684" t="s">
        <v>15</v>
      </c>
      <c r="D1684" t="s">
        <v>15</v>
      </c>
      <c r="E1684" t="s">
        <v>15</v>
      </c>
      <c r="F1684" t="s">
        <v>16</v>
      </c>
      <c r="G1684" t="s">
        <v>15</v>
      </c>
      <c r="H1684" t="s">
        <v>17</v>
      </c>
      <c r="I1684" t="s">
        <v>16</v>
      </c>
      <c r="J1684" t="s">
        <v>16</v>
      </c>
    </row>
    <row r="1685" spans="1:10" x14ac:dyDescent="0.25">
      <c r="A1685" t="s">
        <v>18</v>
      </c>
      <c r="B1685" t="s">
        <v>19</v>
      </c>
      <c r="C1685" t="s">
        <v>20</v>
      </c>
      <c r="D1685" t="s">
        <v>21</v>
      </c>
      <c r="E1685" t="s">
        <v>22</v>
      </c>
      <c r="F1685" t="s">
        <v>23</v>
      </c>
      <c r="G1685" t="s">
        <v>24</v>
      </c>
      <c r="H1685" t="s">
        <v>20</v>
      </c>
      <c r="I1685" t="s">
        <v>24</v>
      </c>
      <c r="J1685" t="s">
        <v>20</v>
      </c>
    </row>
    <row r="1687" spans="1:10" x14ac:dyDescent="0.25">
      <c r="A1687" t="s">
        <v>501</v>
      </c>
    </row>
    <row r="1688" spans="1:10" x14ac:dyDescent="0.25">
      <c r="A1688" t="s">
        <v>18</v>
      </c>
    </row>
    <row r="1689" spans="1:10" x14ac:dyDescent="0.25">
      <c r="A1689" t="s">
        <v>1303</v>
      </c>
      <c r="B1689" t="s">
        <v>1304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 t="s">
        <v>22</v>
      </c>
      <c r="J1689" t="s">
        <v>22</v>
      </c>
    </row>
    <row r="1690" spans="1:10" x14ac:dyDescent="0.25">
      <c r="A1690" t="s">
        <v>1305</v>
      </c>
      <c r="B1690" t="s">
        <v>1085</v>
      </c>
      <c r="C1690" s="2">
        <v>933966</v>
      </c>
      <c r="D1690" s="2">
        <v>992834</v>
      </c>
      <c r="E1690" s="2">
        <v>1055359</v>
      </c>
      <c r="F1690" s="2">
        <v>1086944</v>
      </c>
      <c r="G1690" s="2">
        <v>755116</v>
      </c>
      <c r="H1690">
        <v>0</v>
      </c>
      <c r="I1690" t="s">
        <v>22</v>
      </c>
      <c r="J1690" t="s">
        <v>22</v>
      </c>
    </row>
    <row r="1691" spans="1:10" x14ac:dyDescent="0.25">
      <c r="A1691" t="s">
        <v>1306</v>
      </c>
      <c r="B1691" t="s">
        <v>1307</v>
      </c>
      <c r="C1691" s="2">
        <v>54271</v>
      </c>
      <c r="D1691" s="2">
        <v>61946</v>
      </c>
      <c r="E1691" s="2">
        <v>64995</v>
      </c>
      <c r="F1691" s="2">
        <v>71000</v>
      </c>
      <c r="G1691" s="2">
        <v>47234</v>
      </c>
      <c r="H1691">
        <v>0</v>
      </c>
      <c r="I1691" t="s">
        <v>22</v>
      </c>
      <c r="J1691" t="s">
        <v>22</v>
      </c>
    </row>
    <row r="1692" spans="1:10" x14ac:dyDescent="0.25">
      <c r="C1692" t="s">
        <v>108</v>
      </c>
      <c r="D1692" t="s">
        <v>108</v>
      </c>
      <c r="E1692" t="s">
        <v>108</v>
      </c>
      <c r="F1692" t="s">
        <v>108</v>
      </c>
      <c r="G1692" t="s">
        <v>108</v>
      </c>
    </row>
    <row r="1693" spans="1:10" x14ac:dyDescent="0.25">
      <c r="H1693" t="s">
        <v>22</v>
      </c>
      <c r="I1693" t="s">
        <v>22</v>
      </c>
      <c r="J1693" t="s">
        <v>22</v>
      </c>
    </row>
    <row r="1694" spans="1:10" x14ac:dyDescent="0.25">
      <c r="A1694" t="s">
        <v>109</v>
      </c>
    </row>
    <row r="1695" spans="1:10" x14ac:dyDescent="0.25">
      <c r="B1695" t="s">
        <v>501</v>
      </c>
      <c r="C1695" s="2">
        <v>988237</v>
      </c>
      <c r="D1695" s="2">
        <v>1054780</v>
      </c>
      <c r="E1695" s="2">
        <v>1120354</v>
      </c>
      <c r="F1695" s="2">
        <v>1157944</v>
      </c>
      <c r="G1695" s="2">
        <v>802350</v>
      </c>
      <c r="H1695">
        <v>0</v>
      </c>
    </row>
    <row r="1697" spans="1:10" x14ac:dyDescent="0.25">
      <c r="A1697" t="s">
        <v>524</v>
      </c>
      <c r="B1697" t="s">
        <v>525</v>
      </c>
    </row>
    <row r="1698" spans="1:10" x14ac:dyDescent="0.25">
      <c r="A1698" t="s">
        <v>18</v>
      </c>
      <c r="B1698" t="s">
        <v>526</v>
      </c>
    </row>
    <row r="1699" spans="1:10" x14ac:dyDescent="0.25">
      <c r="A1699" t="s">
        <v>1308</v>
      </c>
      <c r="B1699" t="s">
        <v>1309</v>
      </c>
      <c r="C1699">
        <v>0</v>
      </c>
      <c r="D1699">
        <v>0</v>
      </c>
      <c r="E1699">
        <v>0</v>
      </c>
      <c r="F1699">
        <v>0</v>
      </c>
      <c r="G1699">
        <v>0</v>
      </c>
      <c r="H1699">
        <v>0</v>
      </c>
      <c r="I1699" t="s">
        <v>22</v>
      </c>
      <c r="J1699" t="s">
        <v>22</v>
      </c>
    </row>
    <row r="1700" spans="1:10" x14ac:dyDescent="0.25">
      <c r="A1700" t="s">
        <v>1310</v>
      </c>
      <c r="B1700" t="s">
        <v>1311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v>0</v>
      </c>
      <c r="I1700" t="s">
        <v>22</v>
      </c>
      <c r="J1700" t="s">
        <v>22</v>
      </c>
    </row>
    <row r="1701" spans="1:10" x14ac:dyDescent="0.25">
      <c r="A1701" t="s">
        <v>1312</v>
      </c>
      <c r="B1701" t="s">
        <v>1282</v>
      </c>
      <c r="C1701">
        <v>0</v>
      </c>
      <c r="D1701" s="2">
        <v>78000</v>
      </c>
      <c r="E1701">
        <v>0</v>
      </c>
      <c r="F1701" s="2">
        <v>145718</v>
      </c>
      <c r="G1701" s="2">
        <v>133291</v>
      </c>
      <c r="H1701">
        <v>0</v>
      </c>
      <c r="I1701" t="s">
        <v>22</v>
      </c>
      <c r="J1701" t="s">
        <v>22</v>
      </c>
    </row>
    <row r="1702" spans="1:10" x14ac:dyDescent="0.25">
      <c r="C1702" t="s">
        <v>108</v>
      </c>
      <c r="D1702" t="s">
        <v>108</v>
      </c>
      <c r="E1702" t="s">
        <v>108</v>
      </c>
      <c r="F1702" t="s">
        <v>108</v>
      </c>
      <c r="G1702" t="s">
        <v>108</v>
      </c>
    </row>
    <row r="1703" spans="1:10" x14ac:dyDescent="0.25">
      <c r="H1703" t="s">
        <v>22</v>
      </c>
      <c r="I1703" t="s">
        <v>22</v>
      </c>
      <c r="J1703" t="s">
        <v>22</v>
      </c>
    </row>
    <row r="1704" spans="1:10" x14ac:dyDescent="0.25">
      <c r="A1704" t="s">
        <v>109</v>
      </c>
    </row>
    <row r="1705" spans="1:10" x14ac:dyDescent="0.25">
      <c r="B1705" t="s">
        <v>530</v>
      </c>
      <c r="C1705">
        <v>0</v>
      </c>
      <c r="D1705" s="2">
        <v>78000</v>
      </c>
      <c r="E1705">
        <v>0</v>
      </c>
      <c r="F1705" s="2">
        <v>145718</v>
      </c>
      <c r="G1705" s="2">
        <v>133291</v>
      </c>
      <c r="H1705">
        <v>0</v>
      </c>
    </row>
    <row r="1706" spans="1:10" x14ac:dyDescent="0.25">
      <c r="A1706" t="s">
        <v>18</v>
      </c>
      <c r="B1706" t="s">
        <v>19</v>
      </c>
      <c r="C1706" t="s">
        <v>20</v>
      </c>
      <c r="D1706" t="s">
        <v>21</v>
      </c>
      <c r="E1706" t="s">
        <v>26</v>
      </c>
    </row>
    <row r="1707" spans="1:10" x14ac:dyDescent="0.25">
      <c r="E1707" t="s">
        <v>339</v>
      </c>
      <c r="F1707" t="s">
        <v>23</v>
      </c>
      <c r="G1707" t="s">
        <v>24</v>
      </c>
      <c r="H1707" t="s">
        <v>20</v>
      </c>
      <c r="I1707" t="s">
        <v>24</v>
      </c>
      <c r="J1707" t="s">
        <v>20</v>
      </c>
    </row>
    <row r="1708" spans="1:10" x14ac:dyDescent="0.25">
      <c r="A1708" t="s">
        <v>109</v>
      </c>
    </row>
    <row r="1709" spans="1:10" x14ac:dyDescent="0.25">
      <c r="A1709">
        <v>31</v>
      </c>
      <c r="B1709" t="e">
        <f>-SOLID WASTE</f>
        <v>#NAME?</v>
      </c>
      <c r="C1709" s="2">
        <v>993482</v>
      </c>
      <c r="D1709" s="2">
        <v>1202774</v>
      </c>
      <c r="E1709" s="2">
        <v>1134735</v>
      </c>
      <c r="F1709" s="2">
        <v>1333171</v>
      </c>
      <c r="G1709" s="2">
        <v>938052</v>
      </c>
      <c r="H1709">
        <v>0</v>
      </c>
    </row>
    <row r="1711" spans="1:10" x14ac:dyDescent="0.25">
      <c r="A1711" t="s">
        <v>1313</v>
      </c>
      <c r="B1711" t="s">
        <v>1314</v>
      </c>
    </row>
    <row r="1712" spans="1:10" x14ac:dyDescent="0.25">
      <c r="A1712" t="s">
        <v>389</v>
      </c>
      <c r="B1712" t="s">
        <v>567</v>
      </c>
    </row>
    <row r="1714" spans="1:10" x14ac:dyDescent="0.25">
      <c r="A1714" t="s">
        <v>391</v>
      </c>
      <c r="B1714" t="s">
        <v>392</v>
      </c>
    </row>
    <row r="1715" spans="1:10" x14ac:dyDescent="0.25">
      <c r="A1715" t="s">
        <v>18</v>
      </c>
      <c r="B1715" t="s">
        <v>228</v>
      </c>
    </row>
    <row r="1716" spans="1:10" x14ac:dyDescent="0.25">
      <c r="A1716" t="s">
        <v>1315</v>
      </c>
      <c r="B1716" t="s">
        <v>430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 t="s">
        <v>22</v>
      </c>
      <c r="J1716" t="s">
        <v>22</v>
      </c>
    </row>
    <row r="1717" spans="1:10" x14ac:dyDescent="0.25">
      <c r="C1717" t="s">
        <v>108</v>
      </c>
      <c r="D1717" t="s">
        <v>108</v>
      </c>
      <c r="E1717" t="s">
        <v>108</v>
      </c>
      <c r="F1717" t="s">
        <v>108</v>
      </c>
      <c r="G1717" t="s">
        <v>108</v>
      </c>
    </row>
    <row r="1718" spans="1:10" x14ac:dyDescent="0.25">
      <c r="H1718" t="s">
        <v>22</v>
      </c>
      <c r="I1718" t="s">
        <v>22</v>
      </c>
      <c r="J1718" t="s">
        <v>22</v>
      </c>
    </row>
    <row r="1719" spans="1:10" x14ac:dyDescent="0.25">
      <c r="A1719" t="s">
        <v>109</v>
      </c>
    </row>
    <row r="1720" spans="1:10" x14ac:dyDescent="0.25">
      <c r="B1720" t="s">
        <v>441</v>
      </c>
      <c r="C1720">
        <v>0</v>
      </c>
      <c r="D1720">
        <v>0</v>
      </c>
      <c r="E1720">
        <v>0</v>
      </c>
      <c r="F1720">
        <v>0</v>
      </c>
      <c r="G1720">
        <v>0</v>
      </c>
      <c r="H1720">
        <v>0</v>
      </c>
    </row>
    <row r="1722" spans="1:10" x14ac:dyDescent="0.25">
      <c r="A1722" t="s">
        <v>442</v>
      </c>
      <c r="B1722" t="s">
        <v>443</v>
      </c>
    </row>
    <row r="1723" spans="1:10" x14ac:dyDescent="0.25">
      <c r="A1723" t="s">
        <v>18</v>
      </c>
      <c r="B1723" t="s">
        <v>21</v>
      </c>
    </row>
    <row r="1724" spans="1:10" x14ac:dyDescent="0.25">
      <c r="A1724" t="s">
        <v>1316</v>
      </c>
      <c r="B1724" t="s">
        <v>445</v>
      </c>
      <c r="C1724">
        <v>0</v>
      </c>
      <c r="D1724">
        <v>0</v>
      </c>
      <c r="E1724">
        <v>0</v>
      </c>
      <c r="F1724">
        <v>0</v>
      </c>
      <c r="G1724">
        <v>0</v>
      </c>
      <c r="H1724">
        <v>0</v>
      </c>
      <c r="I1724" t="s">
        <v>22</v>
      </c>
      <c r="J1724" t="s">
        <v>22</v>
      </c>
    </row>
    <row r="1725" spans="1:10" x14ac:dyDescent="0.25">
      <c r="A1725" t="s">
        <v>1317</v>
      </c>
      <c r="B1725" t="s">
        <v>1047</v>
      </c>
      <c r="C1725" s="2">
        <v>13129</v>
      </c>
      <c r="D1725" s="2">
        <v>21349</v>
      </c>
      <c r="E1725" s="2">
        <v>14760</v>
      </c>
      <c r="F1725" s="2">
        <v>21000</v>
      </c>
      <c r="G1725" s="2">
        <v>9377</v>
      </c>
      <c r="H1725">
        <v>0</v>
      </c>
      <c r="I1725" t="s">
        <v>22</v>
      </c>
      <c r="J1725" t="s">
        <v>22</v>
      </c>
    </row>
    <row r="1726" spans="1:10" x14ac:dyDescent="0.25">
      <c r="A1726" t="s">
        <v>1318</v>
      </c>
      <c r="B1726" t="s">
        <v>1319</v>
      </c>
      <c r="C1726">
        <v>972</v>
      </c>
      <c r="D1726">
        <v>972</v>
      </c>
      <c r="E1726">
        <v>940</v>
      </c>
      <c r="F1726" s="2">
        <v>1400</v>
      </c>
      <c r="G1726">
        <v>460</v>
      </c>
      <c r="H1726">
        <v>0</v>
      </c>
      <c r="I1726" t="s">
        <v>22</v>
      </c>
      <c r="J1726" t="s">
        <v>22</v>
      </c>
    </row>
    <row r="1727" spans="1:10" x14ac:dyDescent="0.25">
      <c r="A1727" t="s">
        <v>1320</v>
      </c>
      <c r="B1727" t="s">
        <v>1321</v>
      </c>
      <c r="C1727">
        <v>717</v>
      </c>
      <c r="D1727">
        <v>704</v>
      </c>
      <c r="E1727">
        <v>629</v>
      </c>
      <c r="F1727">
        <v>700</v>
      </c>
      <c r="G1727">
        <v>287</v>
      </c>
      <c r="H1727">
        <v>0</v>
      </c>
      <c r="I1727" t="s">
        <v>22</v>
      </c>
      <c r="J1727" t="s">
        <v>22</v>
      </c>
    </row>
    <row r="1728" spans="1:10" x14ac:dyDescent="0.25">
      <c r="A1728" t="s">
        <v>1322</v>
      </c>
      <c r="B1728" t="s">
        <v>473</v>
      </c>
      <c r="C1728" s="2">
        <v>3103</v>
      </c>
      <c r="D1728" s="2">
        <v>2510</v>
      </c>
      <c r="E1728" s="2">
        <v>3182</v>
      </c>
      <c r="F1728" s="2">
        <v>7350</v>
      </c>
      <c r="G1728" s="2">
        <v>1372</v>
      </c>
      <c r="H1728">
        <v>0</v>
      </c>
      <c r="I1728" t="s">
        <v>22</v>
      </c>
      <c r="J1728" t="s">
        <v>22</v>
      </c>
    </row>
    <row r="1729" spans="1:10" x14ac:dyDescent="0.25">
      <c r="A1729" t="s">
        <v>1323</v>
      </c>
      <c r="B1729" t="s">
        <v>1241</v>
      </c>
      <c r="C1729" s="2">
        <v>3130</v>
      </c>
      <c r="D1729" s="2">
        <v>6301</v>
      </c>
      <c r="E1729" s="2">
        <v>4912</v>
      </c>
      <c r="F1729">
        <v>0</v>
      </c>
      <c r="G1729" s="2">
        <v>4997</v>
      </c>
      <c r="H1729">
        <v>0</v>
      </c>
      <c r="I1729" t="s">
        <v>22</v>
      </c>
      <c r="J1729" t="s">
        <v>22</v>
      </c>
    </row>
    <row r="1730" spans="1:10" x14ac:dyDescent="0.25">
      <c r="A1730" t="s">
        <v>1324</v>
      </c>
      <c r="B1730" t="s">
        <v>475</v>
      </c>
      <c r="C1730">
        <v>16</v>
      </c>
      <c r="D1730">
        <v>0</v>
      </c>
      <c r="E1730" s="2">
        <v>1955</v>
      </c>
      <c r="F1730">
        <v>500</v>
      </c>
      <c r="G1730">
        <v>0</v>
      </c>
      <c r="H1730">
        <v>0</v>
      </c>
      <c r="I1730" t="s">
        <v>22</v>
      </c>
      <c r="J1730" t="s">
        <v>22</v>
      </c>
    </row>
    <row r="1731" spans="1:10" x14ac:dyDescent="0.25">
      <c r="C1731" t="s">
        <v>108</v>
      </c>
      <c r="D1731" t="s">
        <v>108</v>
      </c>
      <c r="E1731" t="s">
        <v>108</v>
      </c>
      <c r="F1731" t="s">
        <v>108</v>
      </c>
      <c r="G1731" t="s">
        <v>108</v>
      </c>
    </row>
    <row r="1732" spans="1:10" x14ac:dyDescent="0.25">
      <c r="H1732" t="s">
        <v>22</v>
      </c>
      <c r="I1732" t="s">
        <v>22</v>
      </c>
      <c r="J1732" t="s">
        <v>22</v>
      </c>
    </row>
    <row r="1733" spans="1:10" x14ac:dyDescent="0.25">
      <c r="A1733" t="s">
        <v>109</v>
      </c>
    </row>
    <row r="1734" spans="1:10" x14ac:dyDescent="0.25">
      <c r="B1734" t="s">
        <v>478</v>
      </c>
      <c r="C1734" s="2">
        <v>21068</v>
      </c>
      <c r="D1734" s="2">
        <v>31836</v>
      </c>
      <c r="E1734" s="2">
        <v>26379</v>
      </c>
      <c r="F1734" s="2">
        <v>30950</v>
      </c>
      <c r="G1734" s="2">
        <v>16493</v>
      </c>
      <c r="H1734">
        <v>0</v>
      </c>
    </row>
    <row r="1736" spans="1:10" x14ac:dyDescent="0.25">
      <c r="A1736" t="s">
        <v>489</v>
      </c>
    </row>
    <row r="1737" spans="1:10" x14ac:dyDescent="0.25">
      <c r="A1737" t="s">
        <v>18</v>
      </c>
    </row>
    <row r="1738" spans="1:10" x14ac:dyDescent="0.25">
      <c r="A1738" t="s">
        <v>1325</v>
      </c>
      <c r="B1738" t="s">
        <v>489</v>
      </c>
      <c r="C1738">
        <v>0</v>
      </c>
      <c r="D1738">
        <v>82</v>
      </c>
      <c r="E1738">
        <v>0</v>
      </c>
      <c r="F1738" s="2">
        <v>1000</v>
      </c>
      <c r="G1738">
        <v>291</v>
      </c>
      <c r="H1738">
        <v>0</v>
      </c>
      <c r="I1738" t="s">
        <v>22</v>
      </c>
      <c r="J1738" t="s">
        <v>22</v>
      </c>
    </row>
    <row r="1739" spans="1:10" x14ac:dyDescent="0.25">
      <c r="A1739" t="s">
        <v>1326</v>
      </c>
      <c r="B1739" t="s">
        <v>498</v>
      </c>
      <c r="C1739">
        <v>0</v>
      </c>
      <c r="D1739">
        <v>0</v>
      </c>
      <c r="E1739">
        <v>0</v>
      </c>
      <c r="F1739">
        <v>0</v>
      </c>
      <c r="G1739">
        <v>0</v>
      </c>
      <c r="H1739">
        <v>0</v>
      </c>
      <c r="I1739" t="s">
        <v>22</v>
      </c>
      <c r="J1739" t="s">
        <v>22</v>
      </c>
    </row>
    <row r="1740" spans="1:10" x14ac:dyDescent="0.25">
      <c r="A1740" t="s">
        <v>1327</v>
      </c>
      <c r="B1740" t="s">
        <v>500</v>
      </c>
      <c r="C1740">
        <v>0</v>
      </c>
      <c r="D1740">
        <v>0</v>
      </c>
      <c r="E1740">
        <v>0</v>
      </c>
      <c r="F1740">
        <v>0</v>
      </c>
      <c r="G1740">
        <v>0</v>
      </c>
      <c r="H1740">
        <v>0</v>
      </c>
      <c r="I1740" t="s">
        <v>22</v>
      </c>
      <c r="J1740" t="s">
        <v>22</v>
      </c>
    </row>
    <row r="1741" spans="1:10" x14ac:dyDescent="0.25">
      <c r="C1741" t="s">
        <v>108</v>
      </c>
      <c r="D1741" t="s">
        <v>108</v>
      </c>
      <c r="E1741" t="s">
        <v>108</v>
      </c>
      <c r="F1741" t="s">
        <v>108</v>
      </c>
      <c r="G1741" t="s">
        <v>108</v>
      </c>
    </row>
    <row r="1742" spans="1:10" x14ac:dyDescent="0.25">
      <c r="H1742" t="s">
        <v>22</v>
      </c>
      <c r="I1742" t="s">
        <v>22</v>
      </c>
      <c r="J1742" t="s">
        <v>22</v>
      </c>
    </row>
    <row r="1743" spans="1:10" x14ac:dyDescent="0.25">
      <c r="A1743" t="s">
        <v>109</v>
      </c>
    </row>
    <row r="1744" spans="1:10" x14ac:dyDescent="0.25">
      <c r="B1744" t="s">
        <v>489</v>
      </c>
      <c r="C1744">
        <v>0</v>
      </c>
      <c r="D1744">
        <v>82</v>
      </c>
      <c r="E1744">
        <v>0</v>
      </c>
      <c r="F1744" s="2">
        <v>1000</v>
      </c>
      <c r="G1744">
        <v>291</v>
      </c>
      <c r="H1744">
        <v>0</v>
      </c>
    </row>
    <row r="1746" spans="1:10" x14ac:dyDescent="0.25">
      <c r="A1746" t="s">
        <v>501</v>
      </c>
    </row>
    <row r="1747" spans="1:10" x14ac:dyDescent="0.25">
      <c r="A1747" t="s">
        <v>18</v>
      </c>
    </row>
    <row r="1748" spans="1:10" x14ac:dyDescent="0.25">
      <c r="A1748" t="s">
        <v>1328</v>
      </c>
      <c r="B1748" t="s">
        <v>509</v>
      </c>
      <c r="C1748">
        <v>0</v>
      </c>
      <c r="D1748">
        <v>0</v>
      </c>
      <c r="E1748">
        <v>0</v>
      </c>
      <c r="F1748">
        <v>0</v>
      </c>
      <c r="G1748">
        <v>0</v>
      </c>
      <c r="H1748">
        <v>0</v>
      </c>
      <c r="I1748" t="s">
        <v>22</v>
      </c>
      <c r="J1748" t="s">
        <v>22</v>
      </c>
    </row>
    <row r="1749" spans="1:10" x14ac:dyDescent="0.25">
      <c r="A1749" t="s">
        <v>1329</v>
      </c>
      <c r="B1749" t="s">
        <v>509</v>
      </c>
      <c r="C1749" s="2">
        <v>13439</v>
      </c>
      <c r="D1749" s="2">
        <v>14152</v>
      </c>
      <c r="E1749" s="2">
        <v>17386</v>
      </c>
      <c r="F1749" s="2">
        <v>17000</v>
      </c>
      <c r="G1749" s="2">
        <v>11393</v>
      </c>
      <c r="H1749">
        <v>0</v>
      </c>
      <c r="I1749" t="s">
        <v>22</v>
      </c>
      <c r="J1749" t="s">
        <v>22</v>
      </c>
    </row>
    <row r="1750" spans="1:10" x14ac:dyDescent="0.25">
      <c r="A1750" t="s">
        <v>1330</v>
      </c>
      <c r="B1750" t="s">
        <v>1331</v>
      </c>
      <c r="C1750">
        <v>0</v>
      </c>
      <c r="D1750">
        <v>0</v>
      </c>
      <c r="E1750" s="2">
        <v>13692</v>
      </c>
      <c r="F1750" s="2">
        <v>2000</v>
      </c>
      <c r="G1750">
        <v>0</v>
      </c>
      <c r="H1750">
        <v>0</v>
      </c>
      <c r="I1750" t="s">
        <v>22</v>
      </c>
      <c r="J1750" t="s">
        <v>22</v>
      </c>
    </row>
    <row r="1751" spans="1:10" x14ac:dyDescent="0.25">
      <c r="C1751" t="s">
        <v>108</v>
      </c>
      <c r="D1751" t="s">
        <v>108</v>
      </c>
      <c r="E1751" t="s">
        <v>108</v>
      </c>
      <c r="F1751" t="s">
        <v>108</v>
      </c>
      <c r="G1751" t="s">
        <v>108</v>
      </c>
    </row>
    <row r="1752" spans="1:10" x14ac:dyDescent="0.25">
      <c r="H1752" t="s">
        <v>22</v>
      </c>
      <c r="I1752" t="s">
        <v>22</v>
      </c>
      <c r="J1752" t="s">
        <v>22</v>
      </c>
    </row>
    <row r="1753" spans="1:10" x14ac:dyDescent="0.25">
      <c r="A1753" t="s">
        <v>109</v>
      </c>
    </row>
    <row r="1754" spans="1:10" x14ac:dyDescent="0.25">
      <c r="B1754" t="s">
        <v>501</v>
      </c>
      <c r="C1754" s="2">
        <v>13439</v>
      </c>
      <c r="D1754" s="2">
        <v>14152</v>
      </c>
      <c r="E1754" s="2">
        <v>31079</v>
      </c>
      <c r="F1754" s="2">
        <v>19000</v>
      </c>
      <c r="G1754" s="2">
        <v>11393</v>
      </c>
      <c r="H1754">
        <v>0</v>
      </c>
    </row>
    <row r="1755" spans="1:10" x14ac:dyDescent="0.25">
      <c r="A1755" t="s">
        <v>18</v>
      </c>
      <c r="B1755" t="s">
        <v>19</v>
      </c>
      <c r="C1755" t="s">
        <v>20</v>
      </c>
      <c r="D1755" t="s">
        <v>21</v>
      </c>
      <c r="E1755" t="s">
        <v>26</v>
      </c>
    </row>
    <row r="1756" spans="1:10" x14ac:dyDescent="0.25">
      <c r="E1756" t="s">
        <v>339</v>
      </c>
      <c r="F1756" t="s">
        <v>23</v>
      </c>
      <c r="G1756" t="s">
        <v>24</v>
      </c>
      <c r="H1756" t="s">
        <v>20</v>
      </c>
      <c r="I1756" t="s">
        <v>24</v>
      </c>
      <c r="J1756" t="s">
        <v>20</v>
      </c>
    </row>
    <row r="1757" spans="1:10" x14ac:dyDescent="0.25">
      <c r="A1757" t="s">
        <v>109</v>
      </c>
    </row>
    <row r="1758" spans="1:10" x14ac:dyDescent="0.25">
      <c r="A1758">
        <v>32</v>
      </c>
      <c r="B1758" t="e">
        <f>-BUILDING MAINTENANCE</f>
        <v>#NAME?</v>
      </c>
      <c r="C1758" s="2">
        <v>34508</v>
      </c>
      <c r="D1758" s="2">
        <v>46070</v>
      </c>
      <c r="E1758" s="2">
        <v>57457</v>
      </c>
      <c r="F1758" s="2">
        <v>50950</v>
      </c>
      <c r="G1758" s="2">
        <v>28178</v>
      </c>
      <c r="H1758">
        <v>0</v>
      </c>
    </row>
    <row r="1759" spans="1:10" x14ac:dyDescent="0.25">
      <c r="A1759" t="s">
        <v>110</v>
      </c>
    </row>
    <row r="1760" spans="1:10" x14ac:dyDescent="0.25">
      <c r="A1760" s="1">
        <v>43991</v>
      </c>
      <c r="B1760" t="s">
        <v>111</v>
      </c>
      <c r="D1760" t="s">
        <v>112</v>
      </c>
      <c r="E1760" t="s">
        <v>113</v>
      </c>
      <c r="F1760" t="s">
        <v>114</v>
      </c>
      <c r="J1760" t="s">
        <v>1332</v>
      </c>
    </row>
    <row r="1761" spans="1:10" x14ac:dyDescent="0.25">
      <c r="D1761" t="s">
        <v>116</v>
      </c>
      <c r="E1761" t="s">
        <v>117</v>
      </c>
      <c r="F1761" t="s">
        <v>118</v>
      </c>
    </row>
    <row r="1762" spans="1:10" x14ac:dyDescent="0.25">
      <c r="D1762" t="s">
        <v>119</v>
      </c>
      <c r="E1762" t="s">
        <v>120</v>
      </c>
      <c r="F1762" t="s">
        <v>121</v>
      </c>
    </row>
    <row r="1763" spans="1:10" x14ac:dyDescent="0.25">
      <c r="A1763" t="s">
        <v>122</v>
      </c>
      <c r="B1763" t="s">
        <v>123</v>
      </c>
    </row>
    <row r="1764" spans="1:10" x14ac:dyDescent="0.25">
      <c r="A1764" t="s">
        <v>386</v>
      </c>
    </row>
    <row r="1765" spans="1:10" x14ac:dyDescent="0.25">
      <c r="F1765" t="s">
        <v>2</v>
      </c>
      <c r="G1765" t="s">
        <v>3</v>
      </c>
      <c r="H1765" t="s">
        <v>4</v>
      </c>
      <c r="I1765" t="s">
        <v>5</v>
      </c>
      <c r="J1765" t="s">
        <v>6</v>
      </c>
    </row>
    <row r="1766" spans="1:10" x14ac:dyDescent="0.25">
      <c r="C1766" t="s">
        <v>7</v>
      </c>
      <c r="D1766" t="s">
        <v>8</v>
      </c>
      <c r="E1766" t="s">
        <v>9</v>
      </c>
      <c r="F1766" t="s">
        <v>10</v>
      </c>
      <c r="G1766" t="s">
        <v>124</v>
      </c>
      <c r="H1766" t="s">
        <v>12</v>
      </c>
      <c r="I1766" t="s">
        <v>13</v>
      </c>
      <c r="J1766" t="s">
        <v>14</v>
      </c>
    </row>
    <row r="1767" spans="1:10" x14ac:dyDescent="0.25">
      <c r="C1767" t="s">
        <v>15</v>
      </c>
      <c r="D1767" t="s">
        <v>15</v>
      </c>
      <c r="E1767" t="s">
        <v>15</v>
      </c>
      <c r="F1767" t="s">
        <v>16</v>
      </c>
      <c r="G1767" t="s">
        <v>15</v>
      </c>
      <c r="H1767" t="s">
        <v>17</v>
      </c>
      <c r="I1767" t="s">
        <v>16</v>
      </c>
      <c r="J1767" t="s">
        <v>16</v>
      </c>
    </row>
    <row r="1768" spans="1:10" x14ac:dyDescent="0.25">
      <c r="A1768" t="s">
        <v>18</v>
      </c>
      <c r="B1768" t="s">
        <v>19</v>
      </c>
      <c r="C1768" t="s">
        <v>20</v>
      </c>
      <c r="D1768" t="s">
        <v>21</v>
      </c>
      <c r="E1768" t="s">
        <v>22</v>
      </c>
      <c r="F1768" t="s">
        <v>23</v>
      </c>
      <c r="G1768" t="s">
        <v>24</v>
      </c>
      <c r="H1768" t="s">
        <v>20</v>
      </c>
      <c r="I1768" t="s">
        <v>24</v>
      </c>
      <c r="J1768" t="s">
        <v>20</v>
      </c>
    </row>
    <row r="1770" spans="1:10" x14ac:dyDescent="0.25">
      <c r="A1770" t="s">
        <v>1333</v>
      </c>
      <c r="B1770" t="s">
        <v>331</v>
      </c>
    </row>
    <row r="1771" spans="1:10" x14ac:dyDescent="0.25">
      <c r="A1771" t="s">
        <v>389</v>
      </c>
      <c r="B1771" t="s">
        <v>982</v>
      </c>
    </row>
    <row r="1773" spans="1:10" x14ac:dyDescent="0.25">
      <c r="A1773" t="s">
        <v>391</v>
      </c>
      <c r="B1773" t="s">
        <v>392</v>
      </c>
    </row>
    <row r="1774" spans="1:10" x14ac:dyDescent="0.25">
      <c r="A1774" t="s">
        <v>18</v>
      </c>
      <c r="B1774" t="s">
        <v>228</v>
      </c>
    </row>
    <row r="1775" spans="1:10" x14ac:dyDescent="0.25">
      <c r="A1775" t="s">
        <v>1334</v>
      </c>
      <c r="B1775" t="s">
        <v>569</v>
      </c>
      <c r="C1775" s="2">
        <v>2326</v>
      </c>
      <c r="D1775" s="2">
        <v>1919</v>
      </c>
      <c r="E1775">
        <v>0</v>
      </c>
      <c r="F1775">
        <v>0</v>
      </c>
      <c r="G1775">
        <v>0</v>
      </c>
      <c r="H1775">
        <v>0</v>
      </c>
      <c r="I1775" t="s">
        <v>22</v>
      </c>
      <c r="J1775" t="s">
        <v>22</v>
      </c>
    </row>
    <row r="1776" spans="1:10" x14ac:dyDescent="0.25">
      <c r="A1776" t="s">
        <v>1335</v>
      </c>
      <c r="B1776" t="s">
        <v>396</v>
      </c>
      <c r="C1776">
        <v>37</v>
      </c>
      <c r="D1776">
        <v>45</v>
      </c>
      <c r="E1776">
        <v>625</v>
      </c>
      <c r="F1776" s="2">
        <v>1260</v>
      </c>
      <c r="G1776">
        <v>187</v>
      </c>
      <c r="H1776">
        <v>0</v>
      </c>
      <c r="I1776" t="s">
        <v>22</v>
      </c>
      <c r="J1776" t="s">
        <v>22</v>
      </c>
    </row>
    <row r="1777" spans="1:10" x14ac:dyDescent="0.25">
      <c r="A1777" t="s">
        <v>1336</v>
      </c>
      <c r="B1777" t="s">
        <v>927</v>
      </c>
      <c r="C1777" s="2">
        <v>14685</v>
      </c>
      <c r="D1777" s="2">
        <v>22350</v>
      </c>
      <c r="E1777" s="2">
        <v>17659</v>
      </c>
      <c r="F1777" s="2">
        <v>22550</v>
      </c>
      <c r="G1777" s="2">
        <v>7653</v>
      </c>
      <c r="H1777">
        <v>0</v>
      </c>
      <c r="I1777" t="s">
        <v>22</v>
      </c>
      <c r="J1777" t="s">
        <v>22</v>
      </c>
    </row>
    <row r="1778" spans="1:10" x14ac:dyDescent="0.25">
      <c r="A1778" t="s">
        <v>1337</v>
      </c>
      <c r="B1778" t="s">
        <v>400</v>
      </c>
      <c r="C1778" s="2">
        <v>13337</v>
      </c>
      <c r="D1778" s="2">
        <v>24252</v>
      </c>
      <c r="E1778" s="2">
        <v>19816</v>
      </c>
      <c r="F1778" s="2">
        <v>27974</v>
      </c>
      <c r="G1778" s="2">
        <v>8210</v>
      </c>
      <c r="H1778">
        <v>0</v>
      </c>
      <c r="I1778" t="s">
        <v>22</v>
      </c>
      <c r="J1778" t="s">
        <v>22</v>
      </c>
    </row>
    <row r="1779" spans="1:10" x14ac:dyDescent="0.25">
      <c r="A1779" t="s">
        <v>1338</v>
      </c>
      <c r="B1779" t="s">
        <v>402</v>
      </c>
      <c r="C1779" s="2">
        <v>36952</v>
      </c>
      <c r="D1779" s="2">
        <v>43851</v>
      </c>
      <c r="E1779" s="2">
        <v>43368</v>
      </c>
      <c r="F1779" s="2">
        <v>84123</v>
      </c>
      <c r="G1779" s="2">
        <v>18227</v>
      </c>
      <c r="H1779">
        <v>0</v>
      </c>
      <c r="I1779" t="s">
        <v>22</v>
      </c>
      <c r="J1779" t="s">
        <v>22</v>
      </c>
    </row>
    <row r="1780" spans="1:10" x14ac:dyDescent="0.25">
      <c r="A1780" t="s">
        <v>1339</v>
      </c>
      <c r="B1780" t="s">
        <v>404</v>
      </c>
      <c r="C1780" s="2">
        <v>1936</v>
      </c>
      <c r="D1780" s="2">
        <v>2446</v>
      </c>
      <c r="E1780" s="2">
        <v>2310</v>
      </c>
      <c r="F1780" s="2">
        <v>3270</v>
      </c>
      <c r="G1780" s="2">
        <v>1205</v>
      </c>
      <c r="H1780">
        <v>0</v>
      </c>
      <c r="I1780" t="s">
        <v>22</v>
      </c>
      <c r="J1780" t="s">
        <v>22</v>
      </c>
    </row>
    <row r="1781" spans="1:10" x14ac:dyDescent="0.25">
      <c r="A1781" t="s">
        <v>1340</v>
      </c>
      <c r="B1781" t="s">
        <v>406</v>
      </c>
      <c r="C1781" s="2">
        <v>1059</v>
      </c>
      <c r="D1781" s="2">
        <v>3373</v>
      </c>
      <c r="E1781" s="2">
        <v>4284</v>
      </c>
      <c r="F1781" s="2">
        <v>4712</v>
      </c>
      <c r="G1781" s="2">
        <v>6622</v>
      </c>
      <c r="H1781">
        <v>0</v>
      </c>
      <c r="I1781" t="s">
        <v>22</v>
      </c>
      <c r="J1781" t="s">
        <v>22</v>
      </c>
    </row>
    <row r="1782" spans="1:10" x14ac:dyDescent="0.25">
      <c r="A1782" t="s">
        <v>1341</v>
      </c>
      <c r="B1782" t="s">
        <v>1342</v>
      </c>
      <c r="C1782">
        <v>0</v>
      </c>
      <c r="D1782" s="2">
        <v>43713</v>
      </c>
      <c r="E1782" s="2">
        <v>44319</v>
      </c>
      <c r="F1782">
        <v>0</v>
      </c>
      <c r="G1782" s="2">
        <v>3909</v>
      </c>
      <c r="H1782">
        <v>0</v>
      </c>
      <c r="I1782" t="s">
        <v>22</v>
      </c>
      <c r="J1782" t="s">
        <v>22</v>
      </c>
    </row>
    <row r="1783" spans="1:10" x14ac:dyDescent="0.25">
      <c r="A1783" t="s">
        <v>1343</v>
      </c>
      <c r="B1783" t="s">
        <v>422</v>
      </c>
      <c r="C1783" s="2">
        <v>4200</v>
      </c>
      <c r="D1783" s="2">
        <v>4200</v>
      </c>
      <c r="E1783">
        <v>0</v>
      </c>
      <c r="F1783" s="2">
        <v>4200</v>
      </c>
      <c r="G1783">
        <v>0</v>
      </c>
      <c r="H1783">
        <v>0</v>
      </c>
      <c r="I1783" t="s">
        <v>22</v>
      </c>
      <c r="J1783" t="s">
        <v>22</v>
      </c>
    </row>
    <row r="1784" spans="1:10" x14ac:dyDescent="0.25">
      <c r="A1784" t="s">
        <v>1344</v>
      </c>
      <c r="B1784" t="s">
        <v>690</v>
      </c>
      <c r="C1784">
        <v>450</v>
      </c>
      <c r="D1784">
        <v>311</v>
      </c>
      <c r="E1784">
        <v>346</v>
      </c>
      <c r="F1784">
        <v>381</v>
      </c>
      <c r="G1784">
        <v>173</v>
      </c>
      <c r="H1784">
        <v>0</v>
      </c>
      <c r="I1784" t="s">
        <v>22</v>
      </c>
      <c r="J1784" t="s">
        <v>22</v>
      </c>
    </row>
    <row r="1785" spans="1:10" x14ac:dyDescent="0.25">
      <c r="A1785" t="s">
        <v>1345</v>
      </c>
      <c r="B1785" t="s">
        <v>426</v>
      </c>
      <c r="C1785" s="2">
        <v>1215</v>
      </c>
      <c r="D1785" s="2">
        <v>1215</v>
      </c>
      <c r="E1785" s="2">
        <v>1620</v>
      </c>
      <c r="F1785" s="2">
        <v>2025</v>
      </c>
      <c r="G1785">
        <v>415</v>
      </c>
      <c r="H1785">
        <v>0</v>
      </c>
      <c r="I1785" t="s">
        <v>22</v>
      </c>
      <c r="J1785" t="s">
        <v>22</v>
      </c>
    </row>
    <row r="1786" spans="1:10" x14ac:dyDescent="0.25">
      <c r="A1786" t="s">
        <v>1346</v>
      </c>
      <c r="B1786" t="s">
        <v>1204</v>
      </c>
      <c r="C1786">
        <v>720</v>
      </c>
      <c r="D1786">
        <v>720</v>
      </c>
      <c r="E1786">
        <v>540</v>
      </c>
      <c r="F1786">
        <v>900</v>
      </c>
      <c r="G1786">
        <v>180</v>
      </c>
      <c r="H1786">
        <v>0</v>
      </c>
      <c r="I1786" t="s">
        <v>22</v>
      </c>
      <c r="J1786" t="s">
        <v>22</v>
      </c>
    </row>
    <row r="1787" spans="1:10" x14ac:dyDescent="0.25">
      <c r="A1787" t="s">
        <v>1347</v>
      </c>
      <c r="B1787" t="s">
        <v>428</v>
      </c>
      <c r="C1787" s="2">
        <v>1192</v>
      </c>
      <c r="D1787" s="2">
        <v>1200</v>
      </c>
      <c r="E1787">
        <v>369</v>
      </c>
      <c r="F1787" s="2">
        <v>1800</v>
      </c>
      <c r="G1787">
        <v>0</v>
      </c>
      <c r="H1787">
        <v>0</v>
      </c>
      <c r="I1787" t="s">
        <v>22</v>
      </c>
      <c r="J1787" t="s">
        <v>22</v>
      </c>
    </row>
    <row r="1788" spans="1:10" x14ac:dyDescent="0.25">
      <c r="A1788" t="s">
        <v>1348</v>
      </c>
      <c r="B1788" t="s">
        <v>430</v>
      </c>
      <c r="C1788">
        <v>138</v>
      </c>
      <c r="D1788">
        <v>104</v>
      </c>
      <c r="E1788">
        <v>138</v>
      </c>
      <c r="F1788">
        <v>173</v>
      </c>
      <c r="G1788">
        <v>69</v>
      </c>
      <c r="H1788">
        <v>0</v>
      </c>
      <c r="I1788" t="s">
        <v>22</v>
      </c>
      <c r="J1788" t="s">
        <v>22</v>
      </c>
    </row>
    <row r="1789" spans="1:10" x14ac:dyDescent="0.25">
      <c r="A1789" t="s">
        <v>1349</v>
      </c>
      <c r="B1789" t="s">
        <v>432</v>
      </c>
      <c r="C1789" s="2">
        <v>1663</v>
      </c>
      <c r="D1789" s="2">
        <v>7536</v>
      </c>
      <c r="E1789" s="2">
        <v>2838</v>
      </c>
      <c r="F1789" s="2">
        <v>2500</v>
      </c>
      <c r="G1789">
        <v>853</v>
      </c>
      <c r="H1789">
        <v>0</v>
      </c>
      <c r="I1789" t="s">
        <v>22</v>
      </c>
      <c r="J1789" t="s">
        <v>22</v>
      </c>
    </row>
    <row r="1790" spans="1:10" x14ac:dyDescent="0.25">
      <c r="A1790" t="s">
        <v>1350</v>
      </c>
      <c r="B1790" t="s">
        <v>434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v>0</v>
      </c>
      <c r="I1790" t="s">
        <v>22</v>
      </c>
      <c r="J1790" t="s">
        <v>22</v>
      </c>
    </row>
    <row r="1791" spans="1:10" x14ac:dyDescent="0.25">
      <c r="A1791" t="s">
        <v>1351</v>
      </c>
      <c r="B1791" t="s">
        <v>436</v>
      </c>
      <c r="C1791">
        <v>0</v>
      </c>
      <c r="D1791">
        <v>0</v>
      </c>
      <c r="E1791">
        <v>0</v>
      </c>
      <c r="F1791">
        <v>0</v>
      </c>
      <c r="G1791">
        <v>0</v>
      </c>
      <c r="H1791">
        <v>0</v>
      </c>
      <c r="I1791" t="s">
        <v>22</v>
      </c>
      <c r="J1791" t="s">
        <v>22</v>
      </c>
    </row>
    <row r="1792" spans="1:10" x14ac:dyDescent="0.25">
      <c r="A1792" t="s">
        <v>1352</v>
      </c>
      <c r="B1792" t="s">
        <v>607</v>
      </c>
      <c r="C1792">
        <v>0</v>
      </c>
      <c r="D1792">
        <v>0</v>
      </c>
      <c r="E1792">
        <v>0</v>
      </c>
      <c r="F1792">
        <v>0</v>
      </c>
      <c r="G1792">
        <v>0</v>
      </c>
      <c r="H1792">
        <v>0</v>
      </c>
      <c r="I1792" t="s">
        <v>22</v>
      </c>
      <c r="J1792" t="s">
        <v>22</v>
      </c>
    </row>
    <row r="1793" spans="1:10" x14ac:dyDescent="0.25">
      <c r="A1793" t="s">
        <v>1353</v>
      </c>
      <c r="B1793" t="s">
        <v>1354</v>
      </c>
      <c r="C1793" s="2">
        <v>80484</v>
      </c>
      <c r="D1793" s="2">
        <v>153370</v>
      </c>
      <c r="E1793" s="2">
        <v>100508</v>
      </c>
      <c r="F1793" s="2">
        <v>110063</v>
      </c>
      <c r="G1793" s="2">
        <v>17760</v>
      </c>
      <c r="H1793">
        <v>0</v>
      </c>
      <c r="I1793" t="s">
        <v>22</v>
      </c>
      <c r="J1793" t="s">
        <v>22</v>
      </c>
    </row>
    <row r="1794" spans="1:10" x14ac:dyDescent="0.25">
      <c r="A1794" t="s">
        <v>1355</v>
      </c>
      <c r="B1794" t="s">
        <v>1356</v>
      </c>
      <c r="C1794">
        <v>0</v>
      </c>
      <c r="D1794">
        <v>0</v>
      </c>
      <c r="E1794">
        <v>0</v>
      </c>
      <c r="F1794" s="2">
        <v>68250</v>
      </c>
      <c r="G1794" s="2">
        <v>40780</v>
      </c>
      <c r="H1794">
        <v>0</v>
      </c>
      <c r="I1794" t="s">
        <v>22</v>
      </c>
      <c r="J1794" t="s">
        <v>22</v>
      </c>
    </row>
    <row r="1795" spans="1:10" x14ac:dyDescent="0.25">
      <c r="A1795" t="s">
        <v>1357</v>
      </c>
      <c r="B1795" t="s">
        <v>1358</v>
      </c>
      <c r="C1795">
        <v>0</v>
      </c>
      <c r="D1795">
        <v>0</v>
      </c>
      <c r="E1795">
        <v>0</v>
      </c>
      <c r="F1795">
        <v>0</v>
      </c>
      <c r="G1795">
        <v>0</v>
      </c>
      <c r="H1795">
        <v>0</v>
      </c>
      <c r="I1795" t="s">
        <v>22</v>
      </c>
      <c r="J1795" t="s">
        <v>22</v>
      </c>
    </row>
    <row r="1796" spans="1:10" x14ac:dyDescent="0.25">
      <c r="A1796" t="s">
        <v>1359</v>
      </c>
      <c r="B1796" t="s">
        <v>1360</v>
      </c>
      <c r="C1796" s="2">
        <v>73740</v>
      </c>
      <c r="D1796" s="2">
        <v>80661</v>
      </c>
      <c r="E1796" s="2">
        <v>73435</v>
      </c>
      <c r="F1796" s="2">
        <v>85176</v>
      </c>
      <c r="G1796" s="2">
        <v>36086</v>
      </c>
      <c r="H1796">
        <v>0</v>
      </c>
      <c r="I1796" t="s">
        <v>22</v>
      </c>
      <c r="J1796" t="s">
        <v>22</v>
      </c>
    </row>
    <row r="1797" spans="1:10" x14ac:dyDescent="0.25">
      <c r="A1797" t="s">
        <v>1361</v>
      </c>
      <c r="B1797" t="s">
        <v>1362</v>
      </c>
      <c r="C1797">
        <v>0</v>
      </c>
      <c r="D1797">
        <v>0</v>
      </c>
      <c r="E1797" s="2">
        <v>10610</v>
      </c>
      <c r="F1797" s="2">
        <v>21840</v>
      </c>
      <c r="G1797">
        <v>0</v>
      </c>
      <c r="H1797">
        <v>0</v>
      </c>
      <c r="I1797" t="s">
        <v>22</v>
      </c>
      <c r="J1797" t="s">
        <v>22</v>
      </c>
    </row>
    <row r="1798" spans="1:10" x14ac:dyDescent="0.25">
      <c r="A1798" t="s">
        <v>1363</v>
      </c>
      <c r="B1798" t="s">
        <v>1364</v>
      </c>
      <c r="C1798">
        <v>0</v>
      </c>
      <c r="D1798">
        <v>0</v>
      </c>
      <c r="E1798">
        <v>0</v>
      </c>
      <c r="F1798">
        <v>0</v>
      </c>
      <c r="G1798">
        <v>0</v>
      </c>
      <c r="H1798">
        <v>0</v>
      </c>
      <c r="I1798" t="s">
        <v>22</v>
      </c>
      <c r="J1798" t="s">
        <v>22</v>
      </c>
    </row>
    <row r="1799" spans="1:10" x14ac:dyDescent="0.25">
      <c r="A1799" t="s">
        <v>1365</v>
      </c>
      <c r="B1799" t="s">
        <v>1366</v>
      </c>
      <c r="C1799">
        <v>0</v>
      </c>
      <c r="D1799">
        <v>0</v>
      </c>
      <c r="E1799">
        <v>0</v>
      </c>
      <c r="F1799">
        <v>0</v>
      </c>
      <c r="G1799">
        <v>0</v>
      </c>
      <c r="H1799">
        <v>0</v>
      </c>
      <c r="I1799" t="s">
        <v>22</v>
      </c>
      <c r="J1799" t="s">
        <v>22</v>
      </c>
    </row>
    <row r="1800" spans="1:10" x14ac:dyDescent="0.25">
      <c r="A1800" t="s">
        <v>1367</v>
      </c>
      <c r="B1800" t="s">
        <v>1221</v>
      </c>
      <c r="C1800" s="2">
        <v>1200</v>
      </c>
      <c r="D1800" s="2">
        <v>1875</v>
      </c>
      <c r="E1800">
        <v>0</v>
      </c>
      <c r="F1800">
        <v>0</v>
      </c>
      <c r="G1800">
        <v>0</v>
      </c>
      <c r="H1800">
        <v>0</v>
      </c>
      <c r="I1800" t="s">
        <v>22</v>
      </c>
      <c r="J1800" t="s">
        <v>22</v>
      </c>
    </row>
    <row r="1801" spans="1:10" x14ac:dyDescent="0.25">
      <c r="C1801" t="s">
        <v>108</v>
      </c>
      <c r="D1801" t="s">
        <v>108</v>
      </c>
      <c r="E1801" t="s">
        <v>108</v>
      </c>
      <c r="F1801" t="s">
        <v>108</v>
      </c>
      <c r="G1801" t="s">
        <v>108</v>
      </c>
    </row>
    <row r="1802" spans="1:10" x14ac:dyDescent="0.25">
      <c r="H1802" t="s">
        <v>22</v>
      </c>
      <c r="I1802" t="s">
        <v>22</v>
      </c>
      <c r="J1802" t="s">
        <v>22</v>
      </c>
    </row>
    <row r="1803" spans="1:10" x14ac:dyDescent="0.25">
      <c r="A1803" t="s">
        <v>109</v>
      </c>
    </row>
    <row r="1804" spans="1:10" x14ac:dyDescent="0.25">
      <c r="B1804" t="s">
        <v>441</v>
      </c>
      <c r="C1804" s="2">
        <v>235335</v>
      </c>
      <c r="D1804" s="2">
        <v>393142</v>
      </c>
      <c r="E1804" s="2">
        <v>322785</v>
      </c>
      <c r="F1804" s="2">
        <v>441197</v>
      </c>
      <c r="G1804" s="2">
        <v>142330</v>
      </c>
      <c r="H1804">
        <v>0</v>
      </c>
    </row>
    <row r="1806" spans="1:10" x14ac:dyDescent="0.25">
      <c r="A1806" t="s">
        <v>442</v>
      </c>
      <c r="B1806" t="s">
        <v>443</v>
      </c>
    </row>
    <row r="1807" spans="1:10" x14ac:dyDescent="0.25">
      <c r="A1807" t="s">
        <v>18</v>
      </c>
      <c r="B1807" t="s">
        <v>21</v>
      </c>
    </row>
    <row r="1808" spans="1:10" x14ac:dyDescent="0.25">
      <c r="A1808" t="s">
        <v>1368</v>
      </c>
      <c r="B1808" t="s">
        <v>445</v>
      </c>
      <c r="C1808">
        <v>900</v>
      </c>
      <c r="D1808" s="2">
        <v>2615</v>
      </c>
      <c r="E1808" s="2">
        <v>3240</v>
      </c>
      <c r="F1808" s="2">
        <v>3564</v>
      </c>
      <c r="G1808" s="2">
        <v>2866</v>
      </c>
      <c r="H1808">
        <v>0</v>
      </c>
      <c r="I1808" t="s">
        <v>22</v>
      </c>
      <c r="J1808" t="s">
        <v>22</v>
      </c>
    </row>
    <row r="1809" spans="1:10" x14ac:dyDescent="0.25">
      <c r="A1809" t="s">
        <v>1369</v>
      </c>
      <c r="B1809" t="s">
        <v>447</v>
      </c>
      <c r="C1809">
        <v>964</v>
      </c>
      <c r="D1809" s="2">
        <v>1083</v>
      </c>
      <c r="E1809">
        <v>920</v>
      </c>
      <c r="F1809" s="2">
        <v>4500</v>
      </c>
      <c r="G1809">
        <v>648</v>
      </c>
      <c r="H1809">
        <v>0</v>
      </c>
      <c r="I1809" t="s">
        <v>22</v>
      </c>
      <c r="J1809" t="s">
        <v>22</v>
      </c>
    </row>
    <row r="1810" spans="1:10" x14ac:dyDescent="0.25">
      <c r="A1810" t="s">
        <v>1370</v>
      </c>
      <c r="B1810" t="s">
        <v>449</v>
      </c>
      <c r="C1810">
        <v>813</v>
      </c>
      <c r="D1810">
        <v>525</v>
      </c>
      <c r="E1810" s="2">
        <v>1800</v>
      </c>
      <c r="F1810" s="2">
        <v>2000</v>
      </c>
      <c r="G1810">
        <v>0</v>
      </c>
      <c r="H1810">
        <v>0</v>
      </c>
      <c r="I1810" t="s">
        <v>22</v>
      </c>
      <c r="J1810" t="s">
        <v>22</v>
      </c>
    </row>
    <row r="1811" spans="1:10" x14ac:dyDescent="0.25">
      <c r="A1811" t="s">
        <v>1371</v>
      </c>
      <c r="B1811" t="s">
        <v>451</v>
      </c>
      <c r="C1811">
        <v>744</v>
      </c>
      <c r="D1811">
        <v>400</v>
      </c>
      <c r="E1811">
        <v>160</v>
      </c>
      <c r="F1811" s="2">
        <v>3000</v>
      </c>
      <c r="G1811">
        <v>7</v>
      </c>
      <c r="H1811">
        <v>0</v>
      </c>
      <c r="I1811" t="s">
        <v>22</v>
      </c>
      <c r="J1811" t="s">
        <v>22</v>
      </c>
    </row>
    <row r="1812" spans="1:10" x14ac:dyDescent="0.25">
      <c r="A1812" t="s">
        <v>1372</v>
      </c>
      <c r="B1812" t="s">
        <v>1373</v>
      </c>
      <c r="C1812">
        <v>0</v>
      </c>
      <c r="D1812">
        <v>200</v>
      </c>
      <c r="E1812">
        <v>0</v>
      </c>
      <c r="F1812">
        <v>500</v>
      </c>
      <c r="G1812">
        <v>0</v>
      </c>
      <c r="H1812">
        <v>0</v>
      </c>
      <c r="I1812" t="s">
        <v>22</v>
      </c>
      <c r="J1812" t="s">
        <v>22</v>
      </c>
    </row>
    <row r="1813" spans="1:10" x14ac:dyDescent="0.25">
      <c r="A1813" t="s">
        <v>1374</v>
      </c>
      <c r="B1813" t="s">
        <v>457</v>
      </c>
      <c r="C1813">
        <v>0</v>
      </c>
      <c r="D1813">
        <v>0</v>
      </c>
      <c r="E1813">
        <v>0</v>
      </c>
      <c r="F1813" s="2">
        <v>1800</v>
      </c>
      <c r="G1813">
        <v>0</v>
      </c>
      <c r="H1813">
        <v>0</v>
      </c>
      <c r="I1813" t="s">
        <v>22</v>
      </c>
      <c r="J1813" t="s">
        <v>22</v>
      </c>
    </row>
    <row r="1814" spans="1:10" x14ac:dyDescent="0.25">
      <c r="A1814" t="s">
        <v>1375</v>
      </c>
      <c r="B1814" t="s">
        <v>465</v>
      </c>
      <c r="C1814">
        <v>0</v>
      </c>
      <c r="D1814">
        <v>0</v>
      </c>
      <c r="E1814">
        <v>0</v>
      </c>
      <c r="F1814" s="2">
        <v>27666</v>
      </c>
      <c r="G1814" s="2">
        <v>8719</v>
      </c>
      <c r="H1814">
        <v>0</v>
      </c>
      <c r="I1814" t="s">
        <v>22</v>
      </c>
      <c r="J1814" t="s">
        <v>22</v>
      </c>
    </row>
    <row r="1815" spans="1:10" x14ac:dyDescent="0.25">
      <c r="A1815" t="s">
        <v>1376</v>
      </c>
      <c r="B1815" t="s">
        <v>471</v>
      </c>
      <c r="C1815">
        <v>289</v>
      </c>
      <c r="D1815">
        <v>63</v>
      </c>
      <c r="E1815">
        <v>275</v>
      </c>
      <c r="F1815">
        <v>400</v>
      </c>
      <c r="G1815">
        <v>315</v>
      </c>
      <c r="H1815">
        <v>0</v>
      </c>
      <c r="I1815" t="s">
        <v>22</v>
      </c>
      <c r="J1815" t="s">
        <v>22</v>
      </c>
    </row>
    <row r="1816" spans="1:10" x14ac:dyDescent="0.25">
      <c r="A1816" t="s">
        <v>1377</v>
      </c>
      <c r="B1816" t="s">
        <v>1047</v>
      </c>
      <c r="C1816" s="2">
        <v>2227</v>
      </c>
      <c r="D1816" s="2">
        <v>2119</v>
      </c>
      <c r="E1816" s="2">
        <v>2215</v>
      </c>
      <c r="F1816" s="2">
        <v>2500</v>
      </c>
      <c r="G1816" s="2">
        <v>1756</v>
      </c>
      <c r="H1816">
        <v>0</v>
      </c>
      <c r="I1816" t="s">
        <v>22</v>
      </c>
      <c r="J1816" t="s">
        <v>22</v>
      </c>
    </row>
    <row r="1817" spans="1:10" x14ac:dyDescent="0.25">
      <c r="A1817" t="s">
        <v>1378</v>
      </c>
      <c r="B1817" t="s">
        <v>1049</v>
      </c>
      <c r="C1817" s="2">
        <v>65980</v>
      </c>
      <c r="D1817" s="2">
        <v>54199</v>
      </c>
      <c r="E1817" s="2">
        <v>23509</v>
      </c>
      <c r="F1817" s="2">
        <v>40000</v>
      </c>
      <c r="G1817" s="2">
        <v>42590</v>
      </c>
      <c r="H1817">
        <v>0</v>
      </c>
      <c r="I1817" t="s">
        <v>22</v>
      </c>
      <c r="J1817" t="s">
        <v>22</v>
      </c>
    </row>
    <row r="1818" spans="1:10" x14ac:dyDescent="0.25">
      <c r="A1818" t="s">
        <v>1379</v>
      </c>
      <c r="B1818" t="s">
        <v>1051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 t="s">
        <v>22</v>
      </c>
      <c r="J1818" t="s">
        <v>22</v>
      </c>
    </row>
    <row r="1819" spans="1:10" x14ac:dyDescent="0.25">
      <c r="A1819" t="s">
        <v>1380</v>
      </c>
      <c r="B1819" t="s">
        <v>473</v>
      </c>
      <c r="C1819" s="2">
        <v>1085</v>
      </c>
      <c r="D1819" s="2">
        <v>3668</v>
      </c>
      <c r="E1819" s="2">
        <v>13331</v>
      </c>
      <c r="F1819" s="2">
        <v>14000</v>
      </c>
      <c r="G1819" s="2">
        <v>10827</v>
      </c>
      <c r="H1819">
        <v>0</v>
      </c>
      <c r="I1819" t="s">
        <v>22</v>
      </c>
      <c r="J1819" t="s">
        <v>22</v>
      </c>
    </row>
    <row r="1820" spans="1:10" x14ac:dyDescent="0.25">
      <c r="A1820" t="s">
        <v>1381</v>
      </c>
      <c r="B1820" t="s">
        <v>1241</v>
      </c>
      <c r="C1820" s="2">
        <v>5351</v>
      </c>
      <c r="D1820" s="2">
        <v>1050</v>
      </c>
      <c r="E1820">
        <v>0</v>
      </c>
      <c r="F1820">
        <v>0</v>
      </c>
      <c r="G1820">
        <v>0</v>
      </c>
      <c r="H1820">
        <v>0</v>
      </c>
      <c r="I1820" t="s">
        <v>22</v>
      </c>
      <c r="J1820" t="s">
        <v>22</v>
      </c>
    </row>
    <row r="1821" spans="1:10" x14ac:dyDescent="0.25">
      <c r="A1821" t="s">
        <v>1382</v>
      </c>
      <c r="B1821" t="s">
        <v>626</v>
      </c>
      <c r="C1821" s="2">
        <v>1929</v>
      </c>
      <c r="D1821" s="2">
        <v>6317</v>
      </c>
      <c r="E1821" s="2">
        <v>10709</v>
      </c>
      <c r="F1821" s="2">
        <v>5000</v>
      </c>
      <c r="G1821" s="2">
        <v>1053</v>
      </c>
      <c r="H1821">
        <v>0</v>
      </c>
      <c r="I1821" t="s">
        <v>22</v>
      </c>
      <c r="J1821" t="s">
        <v>22</v>
      </c>
    </row>
    <row r="1822" spans="1:10" x14ac:dyDescent="0.25">
      <c r="A1822" t="s">
        <v>1383</v>
      </c>
      <c r="B1822" t="s">
        <v>1246</v>
      </c>
      <c r="C1822">
        <v>0</v>
      </c>
      <c r="D1822">
        <v>0</v>
      </c>
      <c r="E1822">
        <v>785</v>
      </c>
      <c r="F1822" s="2">
        <v>18000</v>
      </c>
      <c r="G1822" s="2">
        <v>2464</v>
      </c>
      <c r="H1822">
        <v>0</v>
      </c>
      <c r="I1822" t="s">
        <v>22</v>
      </c>
      <c r="J1822" t="s">
        <v>22</v>
      </c>
    </row>
    <row r="1823" spans="1:10" x14ac:dyDescent="0.25">
      <c r="A1823" t="s">
        <v>1384</v>
      </c>
      <c r="B1823" t="s">
        <v>475</v>
      </c>
      <c r="C1823" s="2">
        <v>3572</v>
      </c>
      <c r="D1823" s="2">
        <v>1314</v>
      </c>
      <c r="E1823">
        <v>315</v>
      </c>
      <c r="F1823">
        <v>0</v>
      </c>
      <c r="G1823" s="2">
        <v>1343</v>
      </c>
      <c r="H1823">
        <v>0</v>
      </c>
      <c r="I1823" t="s">
        <v>22</v>
      </c>
      <c r="J1823" t="s">
        <v>22</v>
      </c>
    </row>
    <row r="1824" spans="1:10" x14ac:dyDescent="0.25">
      <c r="A1824" t="s">
        <v>110</v>
      </c>
    </row>
    <row r="1825" spans="1:10" x14ac:dyDescent="0.25">
      <c r="A1825" s="1">
        <v>43991</v>
      </c>
      <c r="B1825" t="s">
        <v>111</v>
      </c>
      <c r="D1825" t="s">
        <v>112</v>
      </c>
      <c r="E1825" t="s">
        <v>113</v>
      </c>
      <c r="F1825" t="s">
        <v>114</v>
      </c>
      <c r="J1825" t="s">
        <v>1385</v>
      </c>
    </row>
    <row r="1826" spans="1:10" x14ac:dyDescent="0.25">
      <c r="D1826" t="s">
        <v>116</v>
      </c>
      <c r="E1826" t="s">
        <v>117</v>
      </c>
      <c r="F1826" t="s">
        <v>118</v>
      </c>
    </row>
    <row r="1827" spans="1:10" x14ac:dyDescent="0.25">
      <c r="D1827" t="s">
        <v>119</v>
      </c>
      <c r="E1827" t="s">
        <v>120</v>
      </c>
      <c r="F1827" t="s">
        <v>121</v>
      </c>
    </row>
    <row r="1828" spans="1:10" x14ac:dyDescent="0.25">
      <c r="A1828" t="s">
        <v>122</v>
      </c>
      <c r="B1828" t="s">
        <v>123</v>
      </c>
    </row>
    <row r="1829" spans="1:10" x14ac:dyDescent="0.25">
      <c r="A1829" t="s">
        <v>386</v>
      </c>
    </row>
    <row r="1830" spans="1:10" x14ac:dyDescent="0.25">
      <c r="F1830" t="s">
        <v>2</v>
      </c>
      <c r="G1830" t="s">
        <v>3</v>
      </c>
      <c r="H1830" t="s">
        <v>4</v>
      </c>
      <c r="I1830" t="s">
        <v>5</v>
      </c>
      <c r="J1830" t="s">
        <v>6</v>
      </c>
    </row>
    <row r="1831" spans="1:10" x14ac:dyDescent="0.25">
      <c r="C1831" t="s">
        <v>7</v>
      </c>
      <c r="D1831" t="s">
        <v>8</v>
      </c>
      <c r="E1831" t="s">
        <v>9</v>
      </c>
      <c r="F1831" t="s">
        <v>10</v>
      </c>
      <c r="G1831" t="s">
        <v>124</v>
      </c>
      <c r="H1831" t="s">
        <v>12</v>
      </c>
      <c r="I1831" t="s">
        <v>13</v>
      </c>
      <c r="J1831" t="s">
        <v>14</v>
      </c>
    </row>
    <row r="1832" spans="1:10" x14ac:dyDescent="0.25">
      <c r="C1832" t="s">
        <v>15</v>
      </c>
      <c r="D1832" t="s">
        <v>15</v>
      </c>
      <c r="E1832" t="s">
        <v>15</v>
      </c>
      <c r="F1832" t="s">
        <v>16</v>
      </c>
      <c r="G1832" t="s">
        <v>15</v>
      </c>
      <c r="H1832" t="s">
        <v>17</v>
      </c>
      <c r="I1832" t="s">
        <v>16</v>
      </c>
      <c r="J1832" t="s">
        <v>16</v>
      </c>
    </row>
    <row r="1833" spans="1:10" x14ac:dyDescent="0.25">
      <c r="A1833" t="s">
        <v>18</v>
      </c>
      <c r="B1833" t="s">
        <v>19</v>
      </c>
      <c r="C1833" t="s">
        <v>20</v>
      </c>
      <c r="D1833" t="s">
        <v>21</v>
      </c>
      <c r="E1833" t="s">
        <v>22</v>
      </c>
      <c r="F1833" t="s">
        <v>23</v>
      </c>
      <c r="G1833" t="s">
        <v>24</v>
      </c>
      <c r="H1833" t="s">
        <v>20</v>
      </c>
      <c r="I1833" t="s">
        <v>24</v>
      </c>
      <c r="J1833" t="s">
        <v>20</v>
      </c>
    </row>
    <row r="1834" spans="1:10" x14ac:dyDescent="0.25">
      <c r="A1834" t="s">
        <v>1386</v>
      </c>
      <c r="B1834" t="s">
        <v>1387</v>
      </c>
      <c r="C1834">
        <v>0</v>
      </c>
      <c r="D1834">
        <v>0</v>
      </c>
      <c r="E1834">
        <v>0</v>
      </c>
      <c r="F1834">
        <v>0</v>
      </c>
      <c r="G1834">
        <v>0</v>
      </c>
      <c r="H1834">
        <v>0</v>
      </c>
      <c r="I1834" t="s">
        <v>22</v>
      </c>
      <c r="J1834" t="s">
        <v>22</v>
      </c>
    </row>
    <row r="1835" spans="1:10" x14ac:dyDescent="0.25">
      <c r="A1835" t="s">
        <v>1388</v>
      </c>
      <c r="B1835" t="s">
        <v>1389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v>0</v>
      </c>
      <c r="I1835" t="s">
        <v>22</v>
      </c>
      <c r="J1835" t="s">
        <v>22</v>
      </c>
    </row>
    <row r="1836" spans="1:10" x14ac:dyDescent="0.25">
      <c r="C1836" t="s">
        <v>108</v>
      </c>
      <c r="D1836" t="s">
        <v>108</v>
      </c>
      <c r="E1836" t="s">
        <v>108</v>
      </c>
      <c r="F1836" t="s">
        <v>108</v>
      </c>
      <c r="G1836" t="s">
        <v>108</v>
      </c>
    </row>
    <row r="1837" spans="1:10" x14ac:dyDescent="0.25">
      <c r="H1837" t="s">
        <v>22</v>
      </c>
      <c r="I1837" t="s">
        <v>22</v>
      </c>
      <c r="J1837" t="s">
        <v>22</v>
      </c>
    </row>
    <row r="1838" spans="1:10" x14ac:dyDescent="0.25">
      <c r="A1838" t="s">
        <v>109</v>
      </c>
    </row>
    <row r="1839" spans="1:10" x14ac:dyDescent="0.25">
      <c r="B1839" t="s">
        <v>478</v>
      </c>
      <c r="C1839" s="2">
        <v>83852</v>
      </c>
      <c r="D1839" s="2">
        <v>73552</v>
      </c>
      <c r="E1839" s="2">
        <v>57259</v>
      </c>
      <c r="F1839" s="2">
        <v>122930</v>
      </c>
      <c r="G1839" s="2">
        <v>72586</v>
      </c>
      <c r="H1839">
        <v>0</v>
      </c>
    </row>
    <row r="1841" spans="1:10" x14ac:dyDescent="0.25">
      <c r="A1841" t="s">
        <v>489</v>
      </c>
    </row>
    <row r="1842" spans="1:10" x14ac:dyDescent="0.25">
      <c r="A1842" t="s">
        <v>18</v>
      </c>
    </row>
    <row r="1843" spans="1:10" x14ac:dyDescent="0.25">
      <c r="A1843" t="s">
        <v>1390</v>
      </c>
      <c r="B1843" t="s">
        <v>493</v>
      </c>
      <c r="C1843">
        <v>0</v>
      </c>
      <c r="D1843">
        <v>0</v>
      </c>
      <c r="E1843">
        <v>0</v>
      </c>
      <c r="F1843">
        <v>0</v>
      </c>
      <c r="G1843">
        <v>0</v>
      </c>
      <c r="H1843">
        <v>0</v>
      </c>
      <c r="I1843" t="s">
        <v>22</v>
      </c>
      <c r="J1843" t="s">
        <v>22</v>
      </c>
    </row>
    <row r="1844" spans="1:10" x14ac:dyDescent="0.25">
      <c r="A1844" t="s">
        <v>1391</v>
      </c>
      <c r="B1844" t="s">
        <v>489</v>
      </c>
      <c r="C1844" s="2">
        <v>12421</v>
      </c>
      <c r="D1844" s="2">
        <v>12434</v>
      </c>
      <c r="E1844" s="2">
        <v>8851</v>
      </c>
      <c r="F1844" s="2">
        <v>18500</v>
      </c>
      <c r="G1844" s="2">
        <v>12393</v>
      </c>
      <c r="H1844">
        <v>0</v>
      </c>
      <c r="I1844" t="s">
        <v>22</v>
      </c>
      <c r="J1844" t="s">
        <v>22</v>
      </c>
    </row>
    <row r="1845" spans="1:10" x14ac:dyDescent="0.25">
      <c r="A1845" t="s">
        <v>1392</v>
      </c>
      <c r="B1845" t="s">
        <v>1252</v>
      </c>
      <c r="C1845" s="2">
        <v>1755</v>
      </c>
      <c r="D1845">
        <v>0</v>
      </c>
      <c r="E1845" s="2">
        <v>1549</v>
      </c>
      <c r="F1845" s="2">
        <v>5500</v>
      </c>
      <c r="G1845" s="2">
        <v>3278</v>
      </c>
      <c r="H1845">
        <v>0</v>
      </c>
      <c r="I1845" t="s">
        <v>22</v>
      </c>
      <c r="J1845" t="s">
        <v>22</v>
      </c>
    </row>
    <row r="1846" spans="1:10" x14ac:dyDescent="0.25">
      <c r="A1846" t="s">
        <v>1393</v>
      </c>
      <c r="B1846" t="s">
        <v>496</v>
      </c>
      <c r="C1846" s="2">
        <v>7265</v>
      </c>
      <c r="D1846" s="2">
        <v>4898</v>
      </c>
      <c r="E1846" s="2">
        <v>4549</v>
      </c>
      <c r="F1846" s="2">
        <v>17500</v>
      </c>
      <c r="G1846" s="2">
        <v>2013</v>
      </c>
      <c r="H1846">
        <v>0</v>
      </c>
      <c r="I1846" t="s">
        <v>22</v>
      </c>
      <c r="J1846" t="s">
        <v>22</v>
      </c>
    </row>
    <row r="1847" spans="1:10" x14ac:dyDescent="0.25">
      <c r="A1847" t="s">
        <v>1394</v>
      </c>
      <c r="B1847" t="s">
        <v>1259</v>
      </c>
      <c r="C1847">
        <v>0</v>
      </c>
      <c r="D1847" s="2">
        <v>1483</v>
      </c>
      <c r="E1847" s="2">
        <v>1367</v>
      </c>
      <c r="F1847" s="2">
        <v>5000</v>
      </c>
      <c r="G1847">
        <v>926</v>
      </c>
      <c r="H1847">
        <v>0</v>
      </c>
      <c r="I1847" t="s">
        <v>22</v>
      </c>
      <c r="J1847" t="s">
        <v>22</v>
      </c>
    </row>
    <row r="1848" spans="1:10" x14ac:dyDescent="0.25">
      <c r="A1848" t="s">
        <v>1395</v>
      </c>
      <c r="B1848" t="s">
        <v>498</v>
      </c>
      <c r="C1848">
        <v>0</v>
      </c>
      <c r="D1848">
        <v>0</v>
      </c>
      <c r="E1848">
        <v>0</v>
      </c>
      <c r="F1848">
        <v>0</v>
      </c>
      <c r="G1848">
        <v>0</v>
      </c>
      <c r="H1848">
        <v>0</v>
      </c>
      <c r="I1848" t="s">
        <v>22</v>
      </c>
      <c r="J1848" t="s">
        <v>22</v>
      </c>
    </row>
    <row r="1849" spans="1:10" x14ac:dyDescent="0.25">
      <c r="A1849" t="s">
        <v>1396</v>
      </c>
      <c r="B1849" t="s">
        <v>500</v>
      </c>
      <c r="C1849">
        <v>0</v>
      </c>
      <c r="D1849">
        <v>0</v>
      </c>
      <c r="E1849">
        <v>0</v>
      </c>
      <c r="F1849">
        <v>0</v>
      </c>
      <c r="G1849">
        <v>0</v>
      </c>
      <c r="H1849">
        <v>0</v>
      </c>
      <c r="I1849" t="s">
        <v>22</v>
      </c>
      <c r="J1849" t="s">
        <v>22</v>
      </c>
    </row>
    <row r="1850" spans="1:10" x14ac:dyDescent="0.25">
      <c r="C1850" t="s">
        <v>108</v>
      </c>
      <c r="D1850" t="s">
        <v>108</v>
      </c>
      <c r="E1850" t="s">
        <v>108</v>
      </c>
      <c r="F1850" t="s">
        <v>108</v>
      </c>
      <c r="G1850" t="s">
        <v>108</v>
      </c>
    </row>
    <row r="1851" spans="1:10" x14ac:dyDescent="0.25">
      <c r="H1851" t="s">
        <v>22</v>
      </c>
      <c r="I1851" t="s">
        <v>22</v>
      </c>
      <c r="J1851" t="s">
        <v>22</v>
      </c>
    </row>
    <row r="1852" spans="1:10" x14ac:dyDescent="0.25">
      <c r="A1852" t="s">
        <v>109</v>
      </c>
    </row>
    <row r="1853" spans="1:10" x14ac:dyDescent="0.25">
      <c r="B1853" t="s">
        <v>489</v>
      </c>
      <c r="C1853" s="2">
        <v>21441</v>
      </c>
      <c r="D1853" s="2">
        <v>18816</v>
      </c>
      <c r="E1853" s="2">
        <v>16315</v>
      </c>
      <c r="F1853" s="2">
        <v>46500</v>
      </c>
      <c r="G1853" s="2">
        <v>18610</v>
      </c>
      <c r="H1853">
        <v>0</v>
      </c>
    </row>
    <row r="1855" spans="1:10" x14ac:dyDescent="0.25">
      <c r="A1855" t="s">
        <v>501</v>
      </c>
    </row>
    <row r="1856" spans="1:10" x14ac:dyDescent="0.25">
      <c r="A1856" t="s">
        <v>18</v>
      </c>
    </row>
    <row r="1857" spans="1:10" x14ac:dyDescent="0.25">
      <c r="A1857" t="s">
        <v>1397</v>
      </c>
      <c r="B1857" t="s">
        <v>503</v>
      </c>
      <c r="C1857" s="2">
        <v>5903</v>
      </c>
      <c r="D1857">
        <v>700</v>
      </c>
      <c r="E1857">
        <v>0</v>
      </c>
      <c r="F1857">
        <v>0</v>
      </c>
      <c r="G1857" s="2">
        <v>1000</v>
      </c>
      <c r="H1857">
        <v>0</v>
      </c>
      <c r="I1857" t="s">
        <v>22</v>
      </c>
      <c r="J1857" t="s">
        <v>22</v>
      </c>
    </row>
    <row r="1858" spans="1:10" x14ac:dyDescent="0.25">
      <c r="A1858" t="s">
        <v>1398</v>
      </c>
      <c r="B1858" t="s">
        <v>509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v>0</v>
      </c>
      <c r="I1858" t="s">
        <v>22</v>
      </c>
      <c r="J1858" t="s">
        <v>22</v>
      </c>
    </row>
    <row r="1859" spans="1:10" x14ac:dyDescent="0.25">
      <c r="A1859" t="s">
        <v>1399</v>
      </c>
      <c r="B1859" t="s">
        <v>519</v>
      </c>
      <c r="C1859" s="2">
        <v>1500</v>
      </c>
      <c r="D1859">
        <v>0</v>
      </c>
      <c r="E1859">
        <v>0</v>
      </c>
      <c r="F1859">
        <v>0</v>
      </c>
      <c r="G1859">
        <v>0</v>
      </c>
      <c r="H1859">
        <v>0</v>
      </c>
      <c r="I1859" t="s">
        <v>22</v>
      </c>
      <c r="J1859" t="s">
        <v>22</v>
      </c>
    </row>
    <row r="1860" spans="1:10" x14ac:dyDescent="0.25">
      <c r="A1860" t="s">
        <v>1400</v>
      </c>
      <c r="B1860" t="s">
        <v>521</v>
      </c>
      <c r="C1860">
        <v>0</v>
      </c>
      <c r="D1860">
        <v>0</v>
      </c>
      <c r="E1860">
        <v>0</v>
      </c>
      <c r="F1860">
        <v>0</v>
      </c>
      <c r="G1860">
        <v>0</v>
      </c>
      <c r="H1860">
        <v>0</v>
      </c>
      <c r="I1860" t="s">
        <v>22</v>
      </c>
      <c r="J1860" t="s">
        <v>22</v>
      </c>
    </row>
    <row r="1861" spans="1:10" x14ac:dyDescent="0.25">
      <c r="C1861" t="s">
        <v>108</v>
      </c>
      <c r="D1861" t="s">
        <v>108</v>
      </c>
      <c r="E1861" t="s">
        <v>108</v>
      </c>
      <c r="F1861" t="s">
        <v>108</v>
      </c>
      <c r="G1861" t="s">
        <v>108</v>
      </c>
    </row>
    <row r="1862" spans="1:10" x14ac:dyDescent="0.25">
      <c r="H1862" t="s">
        <v>22</v>
      </c>
      <c r="I1862" t="s">
        <v>22</v>
      </c>
      <c r="J1862" t="s">
        <v>22</v>
      </c>
    </row>
    <row r="1863" spans="1:10" x14ac:dyDescent="0.25">
      <c r="A1863" t="s">
        <v>109</v>
      </c>
    </row>
    <row r="1864" spans="1:10" x14ac:dyDescent="0.25">
      <c r="B1864" t="s">
        <v>501</v>
      </c>
      <c r="C1864" s="2">
        <v>7403</v>
      </c>
      <c r="D1864">
        <v>700</v>
      </c>
      <c r="E1864">
        <v>0</v>
      </c>
      <c r="F1864">
        <v>0</v>
      </c>
      <c r="G1864" s="2">
        <v>1000</v>
      </c>
      <c r="H1864">
        <v>0</v>
      </c>
    </row>
    <row r="1866" spans="1:10" x14ac:dyDescent="0.25">
      <c r="A1866" t="s">
        <v>524</v>
      </c>
      <c r="B1866" t="s">
        <v>525</v>
      </c>
    </row>
    <row r="1867" spans="1:10" x14ac:dyDescent="0.25">
      <c r="A1867" t="s">
        <v>18</v>
      </c>
      <c r="B1867" t="s">
        <v>526</v>
      </c>
    </row>
    <row r="1868" spans="1:10" x14ac:dyDescent="0.25">
      <c r="A1868" t="s">
        <v>1401</v>
      </c>
      <c r="B1868" t="s">
        <v>530</v>
      </c>
      <c r="C1868" s="2">
        <v>15634</v>
      </c>
      <c r="D1868">
        <v>0</v>
      </c>
      <c r="E1868">
        <v>0</v>
      </c>
      <c r="F1868">
        <v>0</v>
      </c>
      <c r="G1868">
        <v>0</v>
      </c>
      <c r="H1868">
        <v>0</v>
      </c>
      <c r="I1868" t="s">
        <v>22</v>
      </c>
      <c r="J1868" t="s">
        <v>22</v>
      </c>
    </row>
    <row r="1869" spans="1:10" x14ac:dyDescent="0.25">
      <c r="A1869" t="s">
        <v>1402</v>
      </c>
      <c r="B1869" t="s">
        <v>530</v>
      </c>
      <c r="C1869">
        <v>0</v>
      </c>
      <c r="D1869" s="2">
        <v>7153</v>
      </c>
      <c r="E1869">
        <v>0</v>
      </c>
      <c r="F1869">
        <v>0</v>
      </c>
      <c r="G1869">
        <v>0</v>
      </c>
      <c r="H1869">
        <v>0</v>
      </c>
      <c r="I1869" t="s">
        <v>22</v>
      </c>
      <c r="J1869" t="s">
        <v>22</v>
      </c>
    </row>
    <row r="1870" spans="1:10" x14ac:dyDescent="0.25">
      <c r="A1870" t="s">
        <v>1403</v>
      </c>
      <c r="B1870" t="s">
        <v>1404</v>
      </c>
      <c r="C1870">
        <v>0</v>
      </c>
      <c r="D1870">
        <v>0</v>
      </c>
      <c r="E1870">
        <v>0</v>
      </c>
      <c r="F1870" s="2">
        <v>105000</v>
      </c>
      <c r="G1870" s="2">
        <v>38750</v>
      </c>
      <c r="H1870">
        <v>0</v>
      </c>
      <c r="I1870" t="s">
        <v>22</v>
      </c>
      <c r="J1870" t="s">
        <v>22</v>
      </c>
    </row>
    <row r="1871" spans="1:10" x14ac:dyDescent="0.25">
      <c r="A1871" t="s">
        <v>1405</v>
      </c>
      <c r="B1871" t="s">
        <v>1406</v>
      </c>
      <c r="C1871">
        <v>0</v>
      </c>
      <c r="D1871" s="2">
        <v>133403</v>
      </c>
      <c r="E1871">
        <v>0</v>
      </c>
      <c r="F1871" s="2">
        <v>375000</v>
      </c>
      <c r="G1871">
        <v>0</v>
      </c>
      <c r="H1871">
        <v>0</v>
      </c>
      <c r="I1871" t="s">
        <v>22</v>
      </c>
      <c r="J1871" t="s">
        <v>22</v>
      </c>
    </row>
    <row r="1872" spans="1:10" x14ac:dyDescent="0.25">
      <c r="A1872" t="s">
        <v>1407</v>
      </c>
      <c r="B1872" t="s">
        <v>1408</v>
      </c>
      <c r="C1872">
        <v>0</v>
      </c>
      <c r="D1872">
        <v>0</v>
      </c>
      <c r="E1872">
        <v>0</v>
      </c>
      <c r="F1872" s="2">
        <v>15000</v>
      </c>
      <c r="G1872">
        <v>0</v>
      </c>
      <c r="H1872">
        <v>0</v>
      </c>
      <c r="I1872" t="s">
        <v>22</v>
      </c>
      <c r="J1872" t="s">
        <v>22</v>
      </c>
    </row>
    <row r="1873" spans="1:10" x14ac:dyDescent="0.25">
      <c r="A1873" t="s">
        <v>1409</v>
      </c>
      <c r="B1873" t="s">
        <v>1282</v>
      </c>
      <c r="C1873" s="2">
        <v>11004</v>
      </c>
      <c r="D1873">
        <v>0</v>
      </c>
      <c r="E1873">
        <v>0</v>
      </c>
      <c r="F1873" s="2">
        <v>21250</v>
      </c>
      <c r="G1873" s="2">
        <v>5090</v>
      </c>
      <c r="H1873">
        <v>0</v>
      </c>
      <c r="I1873" t="s">
        <v>22</v>
      </c>
      <c r="J1873" t="s">
        <v>22</v>
      </c>
    </row>
    <row r="1874" spans="1:10" x14ac:dyDescent="0.25">
      <c r="A1874" t="s">
        <v>1410</v>
      </c>
      <c r="B1874" t="s">
        <v>534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v>0</v>
      </c>
      <c r="I1874" t="s">
        <v>22</v>
      </c>
      <c r="J1874" t="s">
        <v>22</v>
      </c>
    </row>
    <row r="1875" spans="1:10" x14ac:dyDescent="0.25">
      <c r="A1875" t="s">
        <v>1411</v>
      </c>
      <c r="B1875" t="s">
        <v>1412</v>
      </c>
      <c r="C1875">
        <v>0</v>
      </c>
      <c r="D1875">
        <v>0</v>
      </c>
      <c r="E1875">
        <v>0</v>
      </c>
      <c r="F1875">
        <v>0</v>
      </c>
      <c r="G1875">
        <v>0</v>
      </c>
      <c r="H1875">
        <v>0</v>
      </c>
      <c r="I1875" t="s">
        <v>22</v>
      </c>
      <c r="J1875" t="s">
        <v>22</v>
      </c>
    </row>
    <row r="1876" spans="1:10" x14ac:dyDescent="0.25">
      <c r="A1876" t="s">
        <v>1413</v>
      </c>
      <c r="B1876" t="s">
        <v>660</v>
      </c>
      <c r="C1876">
        <v>0</v>
      </c>
      <c r="D1876" s="2">
        <v>34015</v>
      </c>
      <c r="E1876">
        <v>0</v>
      </c>
      <c r="F1876" s="2">
        <v>90217</v>
      </c>
      <c r="G1876" s="2">
        <v>85332</v>
      </c>
      <c r="H1876">
        <v>0</v>
      </c>
      <c r="I1876" t="s">
        <v>22</v>
      </c>
      <c r="J1876" t="s">
        <v>22</v>
      </c>
    </row>
    <row r="1877" spans="1:10" x14ac:dyDescent="0.25">
      <c r="C1877" t="s">
        <v>108</v>
      </c>
      <c r="D1877" t="s">
        <v>108</v>
      </c>
      <c r="E1877" t="s">
        <v>108</v>
      </c>
      <c r="F1877" t="s">
        <v>108</v>
      </c>
      <c r="G1877" t="s">
        <v>108</v>
      </c>
    </row>
    <row r="1878" spans="1:10" x14ac:dyDescent="0.25">
      <c r="H1878" t="s">
        <v>22</v>
      </c>
      <c r="I1878" t="s">
        <v>22</v>
      </c>
      <c r="J1878" t="s">
        <v>22</v>
      </c>
    </row>
    <row r="1879" spans="1:10" x14ac:dyDescent="0.25">
      <c r="A1879" t="s">
        <v>109</v>
      </c>
    </row>
    <row r="1880" spans="1:10" x14ac:dyDescent="0.25">
      <c r="B1880" t="s">
        <v>530</v>
      </c>
      <c r="C1880" s="2">
        <v>26638</v>
      </c>
      <c r="D1880" s="2">
        <v>174571</v>
      </c>
      <c r="E1880">
        <v>0</v>
      </c>
      <c r="F1880" s="2">
        <v>606466</v>
      </c>
      <c r="G1880" s="2">
        <v>129172</v>
      </c>
      <c r="H1880">
        <v>0</v>
      </c>
    </row>
    <row r="1881" spans="1:10" x14ac:dyDescent="0.25">
      <c r="A1881" t="s">
        <v>18</v>
      </c>
      <c r="B1881" t="s">
        <v>19</v>
      </c>
      <c r="C1881" t="s">
        <v>20</v>
      </c>
      <c r="D1881" t="s">
        <v>21</v>
      </c>
      <c r="E1881" t="s">
        <v>26</v>
      </c>
    </row>
    <row r="1882" spans="1:10" x14ac:dyDescent="0.25">
      <c r="E1882" t="s">
        <v>339</v>
      </c>
      <c r="F1882" t="s">
        <v>23</v>
      </c>
      <c r="G1882" t="s">
        <v>24</v>
      </c>
      <c r="H1882" t="s">
        <v>20</v>
      </c>
      <c r="I1882" t="s">
        <v>24</v>
      </c>
      <c r="J1882" t="s">
        <v>20</v>
      </c>
    </row>
    <row r="1883" spans="1:10" x14ac:dyDescent="0.25">
      <c r="A1883" t="s">
        <v>109</v>
      </c>
    </row>
    <row r="1884" spans="1:10" x14ac:dyDescent="0.25">
      <c r="A1884">
        <v>34</v>
      </c>
      <c r="B1884" t="e">
        <f>-PARK &amp; RECREATION</f>
        <v>#NAME?</v>
      </c>
      <c r="C1884" s="2">
        <v>374669</v>
      </c>
      <c r="D1884" s="2">
        <v>660780</v>
      </c>
      <c r="E1884" s="2">
        <v>396360</v>
      </c>
      <c r="F1884" s="2">
        <v>1217093</v>
      </c>
      <c r="G1884" s="2">
        <v>363697</v>
      </c>
      <c r="H1884">
        <v>0</v>
      </c>
    </row>
    <row r="1886" spans="1:10" x14ac:dyDescent="0.25">
      <c r="A1886" t="s">
        <v>337</v>
      </c>
      <c r="B1886" t="s">
        <v>338</v>
      </c>
    </row>
    <row r="1887" spans="1:10" x14ac:dyDescent="0.25">
      <c r="A1887" t="s">
        <v>389</v>
      </c>
      <c r="B1887" t="s">
        <v>1414</v>
      </c>
    </row>
    <row r="1889" spans="1:10" x14ac:dyDescent="0.25">
      <c r="A1889" t="s">
        <v>391</v>
      </c>
      <c r="B1889" t="s">
        <v>392</v>
      </c>
    </row>
    <row r="1890" spans="1:10" x14ac:dyDescent="0.25">
      <c r="A1890" t="s">
        <v>18</v>
      </c>
      <c r="B1890" t="s">
        <v>228</v>
      </c>
    </row>
    <row r="1891" spans="1:10" x14ac:dyDescent="0.25">
      <c r="A1891" t="s">
        <v>1415</v>
      </c>
      <c r="B1891" t="s">
        <v>569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v>0</v>
      </c>
      <c r="I1891" t="s">
        <v>22</v>
      </c>
      <c r="J1891" t="s">
        <v>22</v>
      </c>
    </row>
    <row r="1892" spans="1:10" x14ac:dyDescent="0.25">
      <c r="A1892" t="s">
        <v>1416</v>
      </c>
      <c r="B1892" t="s">
        <v>396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v>0</v>
      </c>
      <c r="I1892" t="s">
        <v>22</v>
      </c>
      <c r="J1892" t="s">
        <v>22</v>
      </c>
    </row>
    <row r="1893" spans="1:10" x14ac:dyDescent="0.25">
      <c r="A1893" t="s">
        <v>1417</v>
      </c>
      <c r="B1893" t="s">
        <v>398</v>
      </c>
      <c r="C1893">
        <v>0</v>
      </c>
      <c r="D1893">
        <v>0</v>
      </c>
      <c r="E1893">
        <v>0</v>
      </c>
      <c r="F1893">
        <v>0</v>
      </c>
      <c r="G1893">
        <v>0</v>
      </c>
      <c r="H1893">
        <v>0</v>
      </c>
      <c r="I1893" t="s">
        <v>22</v>
      </c>
      <c r="J1893" t="s">
        <v>22</v>
      </c>
    </row>
    <row r="1894" spans="1:10" x14ac:dyDescent="0.25">
      <c r="A1894" t="s">
        <v>1418</v>
      </c>
      <c r="B1894" t="s">
        <v>400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0</v>
      </c>
      <c r="I1894" t="s">
        <v>22</v>
      </c>
      <c r="J1894" t="s">
        <v>22</v>
      </c>
    </row>
    <row r="1895" spans="1:10" x14ac:dyDescent="0.25">
      <c r="A1895" t="s">
        <v>1419</v>
      </c>
      <c r="B1895" t="s">
        <v>574</v>
      </c>
      <c r="C1895">
        <v>0</v>
      </c>
      <c r="D1895">
        <v>0</v>
      </c>
      <c r="E1895">
        <v>0</v>
      </c>
      <c r="F1895">
        <v>0</v>
      </c>
      <c r="G1895">
        <v>0</v>
      </c>
      <c r="H1895">
        <v>0</v>
      </c>
      <c r="I1895" t="s">
        <v>22</v>
      </c>
      <c r="J1895" t="s">
        <v>22</v>
      </c>
    </row>
    <row r="1896" spans="1:10" x14ac:dyDescent="0.25">
      <c r="A1896" t="s">
        <v>1420</v>
      </c>
      <c r="B1896" t="s">
        <v>406</v>
      </c>
      <c r="C1896">
        <v>0</v>
      </c>
      <c r="D1896">
        <v>0</v>
      </c>
      <c r="E1896">
        <v>0</v>
      </c>
      <c r="F1896">
        <v>0</v>
      </c>
      <c r="G1896">
        <v>0</v>
      </c>
      <c r="H1896">
        <v>0</v>
      </c>
      <c r="I1896" t="s">
        <v>22</v>
      </c>
      <c r="J1896" t="s">
        <v>22</v>
      </c>
    </row>
    <row r="1897" spans="1:10" x14ac:dyDescent="0.25">
      <c r="A1897" t="s">
        <v>1421</v>
      </c>
      <c r="B1897" t="s">
        <v>428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 t="s">
        <v>22</v>
      </c>
      <c r="J1897" t="s">
        <v>22</v>
      </c>
    </row>
    <row r="1898" spans="1:10" x14ac:dyDescent="0.25">
      <c r="A1898" t="s">
        <v>1422</v>
      </c>
      <c r="B1898" t="s">
        <v>430</v>
      </c>
      <c r="C1898">
        <v>0</v>
      </c>
      <c r="D1898">
        <v>0</v>
      </c>
      <c r="E1898">
        <v>0</v>
      </c>
      <c r="F1898">
        <v>0</v>
      </c>
      <c r="G1898">
        <v>0</v>
      </c>
      <c r="H1898">
        <v>0</v>
      </c>
      <c r="I1898" t="s">
        <v>22</v>
      </c>
      <c r="J1898" t="s">
        <v>22</v>
      </c>
    </row>
    <row r="1899" spans="1:10" x14ac:dyDescent="0.25">
      <c r="A1899" t="s">
        <v>1423</v>
      </c>
      <c r="B1899" t="s">
        <v>432</v>
      </c>
      <c r="C1899">
        <v>0</v>
      </c>
      <c r="D1899">
        <v>0</v>
      </c>
      <c r="E1899">
        <v>0</v>
      </c>
      <c r="F1899">
        <v>0</v>
      </c>
      <c r="G1899">
        <v>0</v>
      </c>
      <c r="H1899">
        <v>0</v>
      </c>
      <c r="I1899" t="s">
        <v>22</v>
      </c>
      <c r="J1899" t="s">
        <v>22</v>
      </c>
    </row>
    <row r="1900" spans="1:10" x14ac:dyDescent="0.25">
      <c r="A1900" t="s">
        <v>1424</v>
      </c>
      <c r="B1900" t="s">
        <v>1425</v>
      </c>
      <c r="C1900">
        <v>0</v>
      </c>
      <c r="D1900">
        <v>0</v>
      </c>
      <c r="E1900">
        <v>0</v>
      </c>
      <c r="F1900">
        <v>0</v>
      </c>
      <c r="G1900">
        <v>0</v>
      </c>
      <c r="H1900">
        <v>0</v>
      </c>
      <c r="I1900" t="s">
        <v>22</v>
      </c>
      <c r="J1900" t="s">
        <v>22</v>
      </c>
    </row>
    <row r="1901" spans="1:10" x14ac:dyDescent="0.25">
      <c r="A1901" t="s">
        <v>1426</v>
      </c>
      <c r="B1901" t="s">
        <v>1427</v>
      </c>
      <c r="C1901">
        <v>0</v>
      </c>
      <c r="D1901">
        <v>0</v>
      </c>
      <c r="E1901">
        <v>0</v>
      </c>
      <c r="F1901">
        <v>0</v>
      </c>
      <c r="G1901">
        <v>0</v>
      </c>
      <c r="H1901">
        <v>0</v>
      </c>
      <c r="I1901" t="s">
        <v>22</v>
      </c>
      <c r="J1901" t="s">
        <v>22</v>
      </c>
    </row>
    <row r="1902" spans="1:10" x14ac:dyDescent="0.25">
      <c r="A1902" t="s">
        <v>110</v>
      </c>
    </row>
    <row r="1903" spans="1:10" x14ac:dyDescent="0.25">
      <c r="A1903" s="1">
        <v>43991</v>
      </c>
      <c r="B1903" t="s">
        <v>111</v>
      </c>
      <c r="D1903" t="s">
        <v>112</v>
      </c>
      <c r="E1903" t="s">
        <v>113</v>
      </c>
      <c r="F1903" t="s">
        <v>114</v>
      </c>
      <c r="J1903" t="s">
        <v>1428</v>
      </c>
    </row>
    <row r="1904" spans="1:10" x14ac:dyDescent="0.25">
      <c r="D1904" t="s">
        <v>116</v>
      </c>
      <c r="E1904" t="s">
        <v>117</v>
      </c>
      <c r="F1904" t="s">
        <v>118</v>
      </c>
    </row>
    <row r="1905" spans="1:10" x14ac:dyDescent="0.25">
      <c r="D1905" t="s">
        <v>119</v>
      </c>
      <c r="E1905" t="s">
        <v>120</v>
      </c>
      <c r="F1905" t="s">
        <v>121</v>
      </c>
    </row>
    <row r="1906" spans="1:10" x14ac:dyDescent="0.25">
      <c r="A1906" t="s">
        <v>122</v>
      </c>
      <c r="B1906" t="s">
        <v>123</v>
      </c>
    </row>
    <row r="1907" spans="1:10" x14ac:dyDescent="0.25">
      <c r="A1907" t="s">
        <v>386</v>
      </c>
    </row>
    <row r="1908" spans="1:10" x14ac:dyDescent="0.25">
      <c r="F1908" t="s">
        <v>2</v>
      </c>
      <c r="G1908" t="s">
        <v>3</v>
      </c>
      <c r="H1908" t="s">
        <v>4</v>
      </c>
      <c r="I1908" t="s">
        <v>5</v>
      </c>
      <c r="J1908" t="s">
        <v>6</v>
      </c>
    </row>
    <row r="1909" spans="1:10" x14ac:dyDescent="0.25">
      <c r="C1909" t="s">
        <v>7</v>
      </c>
      <c r="D1909" t="s">
        <v>8</v>
      </c>
      <c r="E1909" t="s">
        <v>9</v>
      </c>
      <c r="F1909" t="s">
        <v>10</v>
      </c>
      <c r="G1909" t="s">
        <v>124</v>
      </c>
      <c r="H1909" t="s">
        <v>12</v>
      </c>
      <c r="I1909" t="s">
        <v>13</v>
      </c>
      <c r="J1909" t="s">
        <v>14</v>
      </c>
    </row>
    <row r="1910" spans="1:10" x14ac:dyDescent="0.25">
      <c r="C1910" t="s">
        <v>15</v>
      </c>
      <c r="D1910" t="s">
        <v>15</v>
      </c>
      <c r="E1910" t="s">
        <v>15</v>
      </c>
      <c r="F1910" t="s">
        <v>16</v>
      </c>
      <c r="G1910" t="s">
        <v>15</v>
      </c>
      <c r="H1910" t="s">
        <v>17</v>
      </c>
      <c r="I1910" t="s">
        <v>16</v>
      </c>
      <c r="J1910" t="s">
        <v>16</v>
      </c>
    </row>
    <row r="1911" spans="1:10" x14ac:dyDescent="0.25">
      <c r="A1911" t="s">
        <v>18</v>
      </c>
      <c r="B1911" t="s">
        <v>19</v>
      </c>
      <c r="C1911" t="s">
        <v>20</v>
      </c>
      <c r="D1911" t="s">
        <v>21</v>
      </c>
      <c r="E1911" t="s">
        <v>22</v>
      </c>
      <c r="F1911" t="s">
        <v>23</v>
      </c>
      <c r="G1911" t="s">
        <v>24</v>
      </c>
      <c r="H1911" t="s">
        <v>20</v>
      </c>
      <c r="I1911" t="s">
        <v>24</v>
      </c>
      <c r="J1911" t="s">
        <v>20</v>
      </c>
    </row>
    <row r="1912" spans="1:10" x14ac:dyDescent="0.25">
      <c r="A1912" t="s">
        <v>1429</v>
      </c>
      <c r="B1912" t="s">
        <v>436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v>0</v>
      </c>
      <c r="I1912" t="s">
        <v>22</v>
      </c>
      <c r="J1912" t="s">
        <v>22</v>
      </c>
    </row>
    <row r="1913" spans="1:10" x14ac:dyDescent="0.25">
      <c r="A1913" t="s">
        <v>1430</v>
      </c>
      <c r="B1913" t="s">
        <v>607</v>
      </c>
      <c r="C1913">
        <v>0</v>
      </c>
      <c r="D1913">
        <v>0</v>
      </c>
      <c r="E1913">
        <v>0</v>
      </c>
      <c r="F1913">
        <v>0</v>
      </c>
      <c r="G1913">
        <v>0</v>
      </c>
      <c r="H1913">
        <v>0</v>
      </c>
      <c r="I1913" t="s">
        <v>22</v>
      </c>
      <c r="J1913" t="s">
        <v>22</v>
      </c>
    </row>
    <row r="1914" spans="1:10" x14ac:dyDescent="0.25">
      <c r="A1914" t="s">
        <v>1431</v>
      </c>
      <c r="B1914" t="s">
        <v>1221</v>
      </c>
      <c r="C1914">
        <v>0</v>
      </c>
      <c r="D1914">
        <v>0</v>
      </c>
      <c r="E1914">
        <v>0</v>
      </c>
      <c r="F1914">
        <v>0</v>
      </c>
      <c r="G1914">
        <v>0</v>
      </c>
      <c r="H1914">
        <v>0</v>
      </c>
      <c r="I1914" t="s">
        <v>22</v>
      </c>
      <c r="J1914" t="s">
        <v>22</v>
      </c>
    </row>
    <row r="1915" spans="1:10" x14ac:dyDescent="0.25">
      <c r="C1915" t="s">
        <v>108</v>
      </c>
      <c r="D1915" t="s">
        <v>108</v>
      </c>
      <c r="E1915" t="s">
        <v>108</v>
      </c>
      <c r="F1915" t="s">
        <v>108</v>
      </c>
      <c r="G1915" t="s">
        <v>108</v>
      </c>
    </row>
    <row r="1916" spans="1:10" x14ac:dyDescent="0.25">
      <c r="H1916" t="s">
        <v>22</v>
      </c>
      <c r="I1916" t="s">
        <v>22</v>
      </c>
      <c r="J1916" t="s">
        <v>22</v>
      </c>
    </row>
    <row r="1917" spans="1:10" x14ac:dyDescent="0.25">
      <c r="A1917" t="s">
        <v>109</v>
      </c>
    </row>
    <row r="1918" spans="1:10" x14ac:dyDescent="0.25">
      <c r="B1918" t="s">
        <v>441</v>
      </c>
      <c r="C1918">
        <v>0</v>
      </c>
      <c r="D1918">
        <v>0</v>
      </c>
      <c r="E1918">
        <v>0</v>
      </c>
      <c r="F1918">
        <v>0</v>
      </c>
      <c r="G1918">
        <v>0</v>
      </c>
      <c r="H1918">
        <v>0</v>
      </c>
    </row>
    <row r="1920" spans="1:10" x14ac:dyDescent="0.25">
      <c r="A1920" t="s">
        <v>442</v>
      </c>
      <c r="B1920" t="s">
        <v>443</v>
      </c>
    </row>
    <row r="1921" spans="1:10" x14ac:dyDescent="0.25">
      <c r="A1921" t="s">
        <v>18</v>
      </c>
      <c r="B1921" t="s">
        <v>21</v>
      </c>
    </row>
    <row r="1922" spans="1:10" x14ac:dyDescent="0.25">
      <c r="A1922" t="s">
        <v>1432</v>
      </c>
      <c r="B1922" t="s">
        <v>445</v>
      </c>
      <c r="C1922">
        <v>951</v>
      </c>
      <c r="D1922">
        <v>605</v>
      </c>
      <c r="E1922">
        <v>704</v>
      </c>
      <c r="F1922">
        <v>775</v>
      </c>
      <c r="G1922">
        <v>792</v>
      </c>
      <c r="H1922">
        <v>0</v>
      </c>
      <c r="I1922" t="s">
        <v>22</v>
      </c>
      <c r="J1922" t="s">
        <v>22</v>
      </c>
    </row>
    <row r="1923" spans="1:10" x14ac:dyDescent="0.25">
      <c r="A1923" t="s">
        <v>1433</v>
      </c>
      <c r="B1923" t="s">
        <v>447</v>
      </c>
      <c r="C1923">
        <v>0</v>
      </c>
      <c r="D1923">
        <v>0</v>
      </c>
      <c r="E1923">
        <v>0</v>
      </c>
      <c r="F1923">
        <v>0</v>
      </c>
      <c r="G1923">
        <v>0</v>
      </c>
      <c r="H1923">
        <v>0</v>
      </c>
      <c r="I1923" t="s">
        <v>22</v>
      </c>
      <c r="J1923" t="s">
        <v>22</v>
      </c>
    </row>
    <row r="1924" spans="1:10" x14ac:dyDescent="0.25">
      <c r="A1924" t="s">
        <v>1434</v>
      </c>
      <c r="B1924" t="s">
        <v>451</v>
      </c>
      <c r="C1924">
        <v>653</v>
      </c>
      <c r="D1924">
        <v>390</v>
      </c>
      <c r="E1924" s="2">
        <v>1125</v>
      </c>
      <c r="F1924" s="2">
        <v>1000</v>
      </c>
      <c r="G1924">
        <v>0</v>
      </c>
      <c r="H1924">
        <v>0</v>
      </c>
      <c r="I1924" t="s">
        <v>22</v>
      </c>
      <c r="J1924" t="s">
        <v>22</v>
      </c>
    </row>
    <row r="1925" spans="1:10" x14ac:dyDescent="0.25">
      <c r="A1925" t="s">
        <v>1435</v>
      </c>
      <c r="B1925" t="s">
        <v>1436</v>
      </c>
      <c r="C1925">
        <v>0</v>
      </c>
      <c r="D1925">
        <v>0</v>
      </c>
      <c r="E1925">
        <v>0</v>
      </c>
      <c r="F1925">
        <v>0</v>
      </c>
      <c r="G1925">
        <v>0</v>
      </c>
      <c r="H1925">
        <v>0</v>
      </c>
      <c r="I1925" t="s">
        <v>22</v>
      </c>
      <c r="J1925" t="s">
        <v>22</v>
      </c>
    </row>
    <row r="1926" spans="1:10" x14ac:dyDescent="0.25">
      <c r="A1926" t="s">
        <v>1437</v>
      </c>
      <c r="B1926" t="s">
        <v>1373</v>
      </c>
      <c r="C1926">
        <v>0</v>
      </c>
      <c r="D1926">
        <v>0</v>
      </c>
      <c r="E1926">
        <v>0</v>
      </c>
      <c r="F1926">
        <v>0</v>
      </c>
      <c r="G1926">
        <v>0</v>
      </c>
      <c r="H1926">
        <v>0</v>
      </c>
      <c r="I1926" t="s">
        <v>22</v>
      </c>
      <c r="J1926" t="s">
        <v>22</v>
      </c>
    </row>
    <row r="1927" spans="1:10" x14ac:dyDescent="0.25">
      <c r="A1927" t="s">
        <v>1438</v>
      </c>
      <c r="B1927" t="s">
        <v>461</v>
      </c>
      <c r="C1927">
        <v>0</v>
      </c>
      <c r="D1927">
        <v>0</v>
      </c>
      <c r="E1927">
        <v>0</v>
      </c>
      <c r="F1927">
        <v>0</v>
      </c>
      <c r="G1927">
        <v>0</v>
      </c>
      <c r="H1927">
        <v>0</v>
      </c>
      <c r="I1927" t="s">
        <v>22</v>
      </c>
      <c r="J1927" t="s">
        <v>22</v>
      </c>
    </row>
    <row r="1928" spans="1:10" x14ac:dyDescent="0.25">
      <c r="A1928" t="s">
        <v>1439</v>
      </c>
      <c r="B1928" t="s">
        <v>471</v>
      </c>
      <c r="C1928" s="2">
        <v>1050</v>
      </c>
      <c r="D1928" s="2">
        <v>1146</v>
      </c>
      <c r="E1928" s="2">
        <v>1146</v>
      </c>
      <c r="F1928" s="2">
        <v>1200</v>
      </c>
      <c r="G1928">
        <v>764</v>
      </c>
      <c r="H1928">
        <v>0</v>
      </c>
      <c r="I1928" t="s">
        <v>22</v>
      </c>
      <c r="J1928" t="s">
        <v>22</v>
      </c>
    </row>
    <row r="1929" spans="1:10" x14ac:dyDescent="0.25">
      <c r="A1929" t="s">
        <v>1440</v>
      </c>
      <c r="B1929" t="s">
        <v>1047</v>
      </c>
      <c r="C1929" s="2">
        <v>4690</v>
      </c>
      <c r="D1929" s="2">
        <v>4767</v>
      </c>
      <c r="E1929" s="2">
        <v>4347</v>
      </c>
      <c r="F1929" s="2">
        <v>5000</v>
      </c>
      <c r="G1929" s="2">
        <v>4409</v>
      </c>
      <c r="H1929">
        <v>0</v>
      </c>
      <c r="I1929" t="s">
        <v>22</v>
      </c>
      <c r="J1929" t="s">
        <v>22</v>
      </c>
    </row>
    <row r="1930" spans="1:10" x14ac:dyDescent="0.25">
      <c r="A1930" t="s">
        <v>1441</v>
      </c>
      <c r="B1930" t="s">
        <v>1049</v>
      </c>
      <c r="C1930" s="2">
        <v>29546</v>
      </c>
      <c r="D1930" s="2">
        <v>18410</v>
      </c>
      <c r="E1930" s="2">
        <v>11410</v>
      </c>
      <c r="F1930" s="2">
        <v>30000</v>
      </c>
      <c r="G1930" s="2">
        <v>3818</v>
      </c>
      <c r="H1930">
        <v>0</v>
      </c>
      <c r="I1930" t="s">
        <v>22</v>
      </c>
      <c r="J1930" t="s">
        <v>22</v>
      </c>
    </row>
    <row r="1931" spans="1:10" x14ac:dyDescent="0.25">
      <c r="A1931" t="s">
        <v>1442</v>
      </c>
      <c r="B1931" t="s">
        <v>1051</v>
      </c>
      <c r="C1931" s="2">
        <v>18507</v>
      </c>
      <c r="D1931" s="2">
        <v>11479</v>
      </c>
      <c r="E1931" s="2">
        <v>7423</v>
      </c>
      <c r="F1931" s="2">
        <v>19000</v>
      </c>
      <c r="G1931" s="2">
        <v>3227</v>
      </c>
      <c r="H1931">
        <v>0</v>
      </c>
      <c r="I1931" t="s">
        <v>22</v>
      </c>
      <c r="J1931" t="s">
        <v>22</v>
      </c>
    </row>
    <row r="1932" spans="1:10" x14ac:dyDescent="0.25">
      <c r="A1932" t="s">
        <v>1443</v>
      </c>
      <c r="B1932" t="s">
        <v>473</v>
      </c>
      <c r="C1932" s="2">
        <v>6316</v>
      </c>
      <c r="D1932" s="2">
        <v>6449</v>
      </c>
      <c r="E1932" s="2">
        <v>26992</v>
      </c>
      <c r="F1932" s="2">
        <v>15750</v>
      </c>
      <c r="G1932" s="2">
        <v>11767</v>
      </c>
      <c r="H1932">
        <v>0</v>
      </c>
      <c r="I1932" t="s">
        <v>22</v>
      </c>
      <c r="J1932" t="s">
        <v>22</v>
      </c>
    </row>
    <row r="1933" spans="1:10" x14ac:dyDescent="0.25">
      <c r="A1933" t="s">
        <v>1444</v>
      </c>
      <c r="B1933" t="s">
        <v>1241</v>
      </c>
      <c r="C1933" s="2">
        <v>28798</v>
      </c>
      <c r="D1933">
        <v>0</v>
      </c>
      <c r="E1933">
        <v>0</v>
      </c>
      <c r="F1933">
        <v>0</v>
      </c>
      <c r="G1933">
        <v>0</v>
      </c>
      <c r="H1933">
        <v>0</v>
      </c>
      <c r="I1933" t="s">
        <v>22</v>
      </c>
      <c r="J1933" t="s">
        <v>22</v>
      </c>
    </row>
    <row r="1934" spans="1:10" x14ac:dyDescent="0.25">
      <c r="A1934" t="s">
        <v>1445</v>
      </c>
      <c r="B1934" t="s">
        <v>475</v>
      </c>
      <c r="C1934">
        <v>0</v>
      </c>
      <c r="D1934">
        <v>0</v>
      </c>
      <c r="E1934">
        <v>610</v>
      </c>
      <c r="F1934">
        <v>0</v>
      </c>
      <c r="G1934">
        <v>380</v>
      </c>
      <c r="H1934">
        <v>0</v>
      </c>
      <c r="I1934" t="s">
        <v>22</v>
      </c>
      <c r="J1934" t="s">
        <v>22</v>
      </c>
    </row>
    <row r="1935" spans="1:10" x14ac:dyDescent="0.25">
      <c r="A1935" t="s">
        <v>1446</v>
      </c>
      <c r="B1935" t="s">
        <v>1447</v>
      </c>
      <c r="C1935">
        <v>165</v>
      </c>
      <c r="D1935">
        <v>0</v>
      </c>
      <c r="E1935">
        <v>0</v>
      </c>
      <c r="F1935">
        <v>0</v>
      </c>
      <c r="G1935">
        <v>0</v>
      </c>
      <c r="H1935">
        <v>0</v>
      </c>
      <c r="I1935" t="s">
        <v>22</v>
      </c>
      <c r="J1935" t="s">
        <v>22</v>
      </c>
    </row>
    <row r="1936" spans="1:10" x14ac:dyDescent="0.25">
      <c r="A1936" t="s">
        <v>1448</v>
      </c>
      <c r="B1936" t="s">
        <v>477</v>
      </c>
      <c r="C1936">
        <v>0</v>
      </c>
      <c r="D1936">
        <v>0</v>
      </c>
      <c r="E1936">
        <v>0</v>
      </c>
      <c r="F1936">
        <v>0</v>
      </c>
      <c r="G1936">
        <v>0</v>
      </c>
      <c r="H1936">
        <v>0</v>
      </c>
      <c r="I1936" t="s">
        <v>22</v>
      </c>
      <c r="J1936" t="s">
        <v>22</v>
      </c>
    </row>
    <row r="1937" spans="1:10" x14ac:dyDescent="0.25">
      <c r="C1937" t="s">
        <v>108</v>
      </c>
      <c r="D1937" t="s">
        <v>108</v>
      </c>
      <c r="E1937" t="s">
        <v>108</v>
      </c>
      <c r="F1937" t="s">
        <v>108</v>
      </c>
      <c r="G1937" t="s">
        <v>108</v>
      </c>
    </row>
    <row r="1938" spans="1:10" x14ac:dyDescent="0.25">
      <c r="H1938" t="s">
        <v>22</v>
      </c>
      <c r="I1938" t="s">
        <v>22</v>
      </c>
      <c r="J1938" t="s">
        <v>22</v>
      </c>
    </row>
    <row r="1939" spans="1:10" x14ac:dyDescent="0.25">
      <c r="A1939" t="s">
        <v>109</v>
      </c>
    </row>
    <row r="1940" spans="1:10" x14ac:dyDescent="0.25">
      <c r="B1940" t="s">
        <v>478</v>
      </c>
      <c r="C1940" s="2">
        <v>90677</v>
      </c>
      <c r="D1940" s="2">
        <v>43246</v>
      </c>
      <c r="E1940" s="2">
        <v>53756</v>
      </c>
      <c r="F1940" s="2">
        <v>72725</v>
      </c>
      <c r="G1940" s="2">
        <v>25157</v>
      </c>
      <c r="H1940">
        <v>0</v>
      </c>
    </row>
    <row r="1942" spans="1:10" x14ac:dyDescent="0.25">
      <c r="A1942" t="s">
        <v>489</v>
      </c>
    </row>
    <row r="1943" spans="1:10" x14ac:dyDescent="0.25">
      <c r="A1943" t="s">
        <v>18</v>
      </c>
    </row>
    <row r="1944" spans="1:10" x14ac:dyDescent="0.25">
      <c r="A1944" t="s">
        <v>1449</v>
      </c>
      <c r="B1944" t="s">
        <v>489</v>
      </c>
      <c r="C1944" s="2">
        <v>3924</v>
      </c>
      <c r="D1944" s="2">
        <v>2720</v>
      </c>
      <c r="E1944">
        <v>812</v>
      </c>
      <c r="F1944" s="2">
        <v>4000</v>
      </c>
      <c r="G1944" s="2">
        <v>3282</v>
      </c>
      <c r="H1944">
        <v>0</v>
      </c>
      <c r="I1944" t="s">
        <v>22</v>
      </c>
      <c r="J1944" t="s">
        <v>22</v>
      </c>
    </row>
    <row r="1945" spans="1:10" x14ac:dyDescent="0.25">
      <c r="A1945" t="s">
        <v>1450</v>
      </c>
      <c r="B1945" t="s">
        <v>1451</v>
      </c>
      <c r="C1945">
        <v>0</v>
      </c>
      <c r="D1945">
        <v>0</v>
      </c>
      <c r="E1945">
        <v>0</v>
      </c>
      <c r="F1945">
        <v>0</v>
      </c>
      <c r="G1945">
        <v>0</v>
      </c>
      <c r="H1945">
        <v>0</v>
      </c>
      <c r="I1945" t="s">
        <v>22</v>
      </c>
      <c r="J1945" t="s">
        <v>22</v>
      </c>
    </row>
    <row r="1946" spans="1:10" x14ac:dyDescent="0.25">
      <c r="A1946" t="s">
        <v>1452</v>
      </c>
      <c r="B1946" t="s">
        <v>1259</v>
      </c>
      <c r="C1946" s="2">
        <v>14179</v>
      </c>
      <c r="D1946" s="2">
        <v>11772</v>
      </c>
      <c r="E1946" s="2">
        <v>3567</v>
      </c>
      <c r="F1946" s="2">
        <v>5400</v>
      </c>
      <c r="G1946">
        <v>150</v>
      </c>
      <c r="H1946">
        <v>0</v>
      </c>
      <c r="I1946" t="s">
        <v>22</v>
      </c>
      <c r="J1946" t="s">
        <v>22</v>
      </c>
    </row>
    <row r="1947" spans="1:10" x14ac:dyDescent="0.25">
      <c r="A1947" t="s">
        <v>1453</v>
      </c>
      <c r="B1947" t="s">
        <v>498</v>
      </c>
      <c r="C1947">
        <v>0</v>
      </c>
      <c r="D1947">
        <v>0</v>
      </c>
      <c r="E1947">
        <v>0</v>
      </c>
      <c r="F1947">
        <v>0</v>
      </c>
      <c r="G1947">
        <v>0</v>
      </c>
      <c r="H1947">
        <v>0</v>
      </c>
      <c r="I1947" t="s">
        <v>22</v>
      </c>
      <c r="J1947" t="s">
        <v>22</v>
      </c>
    </row>
    <row r="1948" spans="1:10" x14ac:dyDescent="0.25">
      <c r="A1948" t="s">
        <v>1454</v>
      </c>
      <c r="B1948" t="s">
        <v>500</v>
      </c>
      <c r="C1948">
        <v>0</v>
      </c>
      <c r="D1948">
        <v>0</v>
      </c>
      <c r="E1948">
        <v>0</v>
      </c>
      <c r="F1948">
        <v>0</v>
      </c>
      <c r="G1948">
        <v>0</v>
      </c>
      <c r="H1948">
        <v>0</v>
      </c>
      <c r="I1948" t="s">
        <v>22</v>
      </c>
      <c r="J1948" t="s">
        <v>22</v>
      </c>
    </row>
    <row r="1949" spans="1:10" x14ac:dyDescent="0.25">
      <c r="C1949" t="s">
        <v>108</v>
      </c>
      <c r="D1949" t="s">
        <v>108</v>
      </c>
      <c r="E1949" t="s">
        <v>108</v>
      </c>
      <c r="F1949" t="s">
        <v>108</v>
      </c>
      <c r="G1949" t="s">
        <v>108</v>
      </c>
    </row>
    <row r="1950" spans="1:10" x14ac:dyDescent="0.25">
      <c r="H1950" t="s">
        <v>22</v>
      </c>
      <c r="I1950" t="s">
        <v>22</v>
      </c>
      <c r="J1950" t="s">
        <v>22</v>
      </c>
    </row>
    <row r="1951" spans="1:10" x14ac:dyDescent="0.25">
      <c r="A1951" t="s">
        <v>109</v>
      </c>
    </row>
    <row r="1952" spans="1:10" x14ac:dyDescent="0.25">
      <c r="B1952" t="s">
        <v>489</v>
      </c>
      <c r="C1952" s="2">
        <v>18103</v>
      </c>
      <c r="D1952" s="2">
        <v>14493</v>
      </c>
      <c r="E1952" s="2">
        <v>4379</v>
      </c>
      <c r="F1952" s="2">
        <v>9400</v>
      </c>
      <c r="G1952" s="2">
        <v>3432</v>
      </c>
      <c r="H1952">
        <v>0</v>
      </c>
    </row>
    <row r="1954" spans="1:10" x14ac:dyDescent="0.25">
      <c r="A1954" t="s">
        <v>501</v>
      </c>
    </row>
    <row r="1955" spans="1:10" x14ac:dyDescent="0.25">
      <c r="A1955" t="s">
        <v>18</v>
      </c>
    </row>
    <row r="1956" spans="1:10" x14ac:dyDescent="0.25">
      <c r="A1956" t="s">
        <v>1455</v>
      </c>
      <c r="B1956" t="s">
        <v>503</v>
      </c>
      <c r="C1956" s="2">
        <v>46404</v>
      </c>
      <c r="D1956" s="2">
        <v>37312</v>
      </c>
      <c r="E1956">
        <v>0</v>
      </c>
      <c r="F1956" s="2">
        <v>81500</v>
      </c>
      <c r="G1956" s="2">
        <v>21344</v>
      </c>
      <c r="H1956">
        <v>0</v>
      </c>
      <c r="I1956" t="s">
        <v>22</v>
      </c>
      <c r="J1956" t="s">
        <v>22</v>
      </c>
    </row>
    <row r="1957" spans="1:10" x14ac:dyDescent="0.25">
      <c r="A1957" t="s">
        <v>1456</v>
      </c>
      <c r="B1957" t="s">
        <v>519</v>
      </c>
      <c r="C1957" s="2">
        <v>1100</v>
      </c>
      <c r="D1957" s="2">
        <v>1635</v>
      </c>
      <c r="E1957">
        <v>210</v>
      </c>
      <c r="F1957" s="2">
        <v>1000</v>
      </c>
      <c r="G1957">
        <v>0</v>
      </c>
      <c r="H1957">
        <v>0</v>
      </c>
      <c r="I1957" t="s">
        <v>22</v>
      </c>
      <c r="J1957" t="s">
        <v>22</v>
      </c>
    </row>
    <row r="1958" spans="1:10" x14ac:dyDescent="0.25">
      <c r="C1958" t="s">
        <v>108</v>
      </c>
      <c r="D1958" t="s">
        <v>108</v>
      </c>
      <c r="E1958" t="s">
        <v>108</v>
      </c>
      <c r="F1958" t="s">
        <v>108</v>
      </c>
      <c r="G1958" t="s">
        <v>108</v>
      </c>
    </row>
    <row r="1959" spans="1:10" x14ac:dyDescent="0.25">
      <c r="H1959" t="s">
        <v>22</v>
      </c>
      <c r="I1959" t="s">
        <v>22</v>
      </c>
      <c r="J1959" t="s">
        <v>22</v>
      </c>
    </row>
    <row r="1960" spans="1:10" x14ac:dyDescent="0.25">
      <c r="A1960" t="s">
        <v>109</v>
      </c>
    </row>
    <row r="1961" spans="1:10" x14ac:dyDescent="0.25">
      <c r="B1961" t="s">
        <v>501</v>
      </c>
      <c r="C1961" s="2">
        <v>47504</v>
      </c>
      <c r="D1961" s="2">
        <v>38947</v>
      </c>
      <c r="E1961">
        <v>210</v>
      </c>
      <c r="F1961" s="2">
        <v>82500</v>
      </c>
      <c r="G1961" s="2">
        <v>21344</v>
      </c>
      <c r="H1961">
        <v>0</v>
      </c>
    </row>
    <row r="1963" spans="1:10" x14ac:dyDescent="0.25">
      <c r="A1963" t="s">
        <v>524</v>
      </c>
      <c r="B1963" t="s">
        <v>525</v>
      </c>
    </row>
    <row r="1964" spans="1:10" x14ac:dyDescent="0.25">
      <c r="A1964" t="s">
        <v>18</v>
      </c>
      <c r="B1964" t="s">
        <v>526</v>
      </c>
    </row>
    <row r="1965" spans="1:10" x14ac:dyDescent="0.25">
      <c r="A1965" t="s">
        <v>1457</v>
      </c>
      <c r="B1965" t="s">
        <v>530</v>
      </c>
      <c r="C1965">
        <v>0</v>
      </c>
      <c r="D1965">
        <v>0</v>
      </c>
      <c r="E1965">
        <v>0</v>
      </c>
      <c r="F1965" s="2">
        <v>12117</v>
      </c>
      <c r="G1965" s="2">
        <v>3475</v>
      </c>
      <c r="H1965">
        <v>0</v>
      </c>
      <c r="I1965" t="s">
        <v>22</v>
      </c>
      <c r="J1965" t="s">
        <v>22</v>
      </c>
    </row>
    <row r="1966" spans="1:10" x14ac:dyDescent="0.25">
      <c r="A1966" t="s">
        <v>1458</v>
      </c>
      <c r="B1966" t="s">
        <v>1459</v>
      </c>
      <c r="C1966">
        <v>0</v>
      </c>
      <c r="D1966">
        <v>0</v>
      </c>
      <c r="E1966">
        <v>0</v>
      </c>
      <c r="F1966">
        <v>0</v>
      </c>
      <c r="G1966">
        <v>0</v>
      </c>
      <c r="H1966">
        <v>0</v>
      </c>
      <c r="I1966" t="s">
        <v>22</v>
      </c>
      <c r="J1966" t="s">
        <v>22</v>
      </c>
    </row>
    <row r="1967" spans="1:10" x14ac:dyDescent="0.25">
      <c r="A1967" t="s">
        <v>1460</v>
      </c>
      <c r="B1967" t="s">
        <v>1461</v>
      </c>
      <c r="C1967">
        <v>0</v>
      </c>
      <c r="D1967">
        <v>0</v>
      </c>
      <c r="E1967">
        <v>0</v>
      </c>
      <c r="F1967">
        <v>0</v>
      </c>
      <c r="G1967">
        <v>0</v>
      </c>
      <c r="H1967">
        <v>0</v>
      </c>
      <c r="I1967" t="s">
        <v>22</v>
      </c>
      <c r="J1967" t="s">
        <v>22</v>
      </c>
    </row>
    <row r="1968" spans="1:10" x14ac:dyDescent="0.25">
      <c r="A1968" t="s">
        <v>1462</v>
      </c>
      <c r="B1968" t="s">
        <v>1282</v>
      </c>
      <c r="C1968">
        <v>0</v>
      </c>
      <c r="D1968">
        <v>0</v>
      </c>
      <c r="E1968">
        <v>0</v>
      </c>
      <c r="F1968">
        <v>0</v>
      </c>
      <c r="G1968">
        <v>0</v>
      </c>
      <c r="H1968">
        <v>0</v>
      </c>
      <c r="I1968" t="s">
        <v>22</v>
      </c>
      <c r="J1968" t="s">
        <v>22</v>
      </c>
    </row>
    <row r="1969" spans="1:10" x14ac:dyDescent="0.25">
      <c r="A1969" t="s">
        <v>1463</v>
      </c>
      <c r="B1969" t="s">
        <v>534</v>
      </c>
      <c r="C1969">
        <v>0</v>
      </c>
      <c r="D1969">
        <v>0</v>
      </c>
      <c r="E1969">
        <v>0</v>
      </c>
      <c r="F1969">
        <v>0</v>
      </c>
      <c r="G1969">
        <v>0</v>
      </c>
      <c r="H1969">
        <v>0</v>
      </c>
      <c r="I1969" t="s">
        <v>22</v>
      </c>
      <c r="J1969" t="s">
        <v>22</v>
      </c>
    </row>
    <row r="1970" spans="1:10" x14ac:dyDescent="0.25">
      <c r="A1970" t="s">
        <v>1464</v>
      </c>
      <c r="B1970" t="s">
        <v>1465</v>
      </c>
      <c r="C1970">
        <v>0</v>
      </c>
      <c r="D1970">
        <v>0</v>
      </c>
      <c r="E1970" s="2">
        <v>175421</v>
      </c>
      <c r="F1970">
        <v>0</v>
      </c>
      <c r="G1970">
        <v>0</v>
      </c>
      <c r="H1970">
        <v>0</v>
      </c>
      <c r="I1970" t="s">
        <v>22</v>
      </c>
      <c r="J1970" t="s">
        <v>22</v>
      </c>
    </row>
    <row r="1971" spans="1:10" x14ac:dyDescent="0.25">
      <c r="C1971" t="s">
        <v>108</v>
      </c>
      <c r="D1971" t="s">
        <v>108</v>
      </c>
      <c r="E1971" t="s">
        <v>108</v>
      </c>
      <c r="F1971" t="s">
        <v>108</v>
      </c>
      <c r="G1971" t="s">
        <v>108</v>
      </c>
    </row>
    <row r="1972" spans="1:10" x14ac:dyDescent="0.25">
      <c r="H1972" t="s">
        <v>22</v>
      </c>
      <c r="I1972" t="s">
        <v>22</v>
      </c>
      <c r="J1972" t="s">
        <v>22</v>
      </c>
    </row>
    <row r="1973" spans="1:10" x14ac:dyDescent="0.25">
      <c r="A1973" t="s">
        <v>109</v>
      </c>
    </row>
    <row r="1974" spans="1:10" x14ac:dyDescent="0.25">
      <c r="B1974" t="s">
        <v>530</v>
      </c>
      <c r="C1974">
        <v>0</v>
      </c>
      <c r="D1974">
        <v>0</v>
      </c>
      <c r="E1974" s="2">
        <v>175421</v>
      </c>
      <c r="F1974" s="2">
        <v>12117</v>
      </c>
      <c r="G1974" s="2">
        <v>3475</v>
      </c>
      <c r="H1974">
        <v>0</v>
      </c>
    </row>
    <row r="1975" spans="1:10" x14ac:dyDescent="0.25">
      <c r="A1975" t="s">
        <v>18</v>
      </c>
      <c r="B1975" t="s">
        <v>19</v>
      </c>
      <c r="C1975" t="s">
        <v>20</v>
      </c>
      <c r="D1975" t="s">
        <v>21</v>
      </c>
      <c r="E1975" t="s">
        <v>26</v>
      </c>
    </row>
    <row r="1976" spans="1:10" x14ac:dyDescent="0.25">
      <c r="E1976" t="s">
        <v>339</v>
      </c>
      <c r="F1976" t="s">
        <v>23</v>
      </c>
      <c r="G1976" t="s">
        <v>24</v>
      </c>
      <c r="H1976" t="s">
        <v>20</v>
      </c>
      <c r="I1976" t="s">
        <v>24</v>
      </c>
      <c r="J1976" t="s">
        <v>20</v>
      </c>
    </row>
    <row r="1977" spans="1:10" x14ac:dyDescent="0.25">
      <c r="A1977" t="s">
        <v>109</v>
      </c>
    </row>
    <row r="1978" spans="1:10" x14ac:dyDescent="0.25">
      <c r="A1978">
        <v>35</v>
      </c>
      <c r="B1978" t="e">
        <f>-AQUATICS</f>
        <v>#NAME?</v>
      </c>
      <c r="C1978" s="2">
        <v>156283</v>
      </c>
      <c r="D1978" s="2">
        <v>96685</v>
      </c>
      <c r="E1978" s="2">
        <v>233767</v>
      </c>
      <c r="F1978" s="2">
        <v>176742</v>
      </c>
      <c r="G1978" s="2">
        <v>53408</v>
      </c>
      <c r="H1978">
        <v>0</v>
      </c>
    </row>
    <row r="1979" spans="1:10" x14ac:dyDescent="0.25">
      <c r="A1979" t="s">
        <v>110</v>
      </c>
    </row>
    <row r="1980" spans="1:10" x14ac:dyDescent="0.25">
      <c r="A1980" s="1">
        <v>43991</v>
      </c>
      <c r="B1980" t="s">
        <v>111</v>
      </c>
      <c r="D1980" t="s">
        <v>112</v>
      </c>
      <c r="E1980" t="s">
        <v>113</v>
      </c>
      <c r="F1980" t="s">
        <v>114</v>
      </c>
      <c r="J1980" t="s">
        <v>1466</v>
      </c>
    </row>
    <row r="1981" spans="1:10" x14ac:dyDescent="0.25">
      <c r="D1981" t="s">
        <v>116</v>
      </c>
      <c r="E1981" t="s">
        <v>117</v>
      </c>
      <c r="F1981" t="s">
        <v>118</v>
      </c>
    </row>
    <row r="1982" spans="1:10" x14ac:dyDescent="0.25">
      <c r="D1982" t="s">
        <v>119</v>
      </c>
      <c r="E1982" t="s">
        <v>120</v>
      </c>
      <c r="F1982" t="s">
        <v>121</v>
      </c>
    </row>
    <row r="1983" spans="1:10" x14ac:dyDescent="0.25">
      <c r="A1983" t="s">
        <v>122</v>
      </c>
      <c r="B1983" t="s">
        <v>123</v>
      </c>
    </row>
    <row r="1984" spans="1:10" x14ac:dyDescent="0.25">
      <c r="A1984" t="s">
        <v>386</v>
      </c>
    </row>
    <row r="1985" spans="1:10" x14ac:dyDescent="0.25">
      <c r="F1985" t="s">
        <v>2</v>
      </c>
      <c r="G1985" t="s">
        <v>3</v>
      </c>
      <c r="H1985" t="s">
        <v>4</v>
      </c>
      <c r="I1985" t="s">
        <v>5</v>
      </c>
      <c r="J1985" t="s">
        <v>6</v>
      </c>
    </row>
    <row r="1986" spans="1:10" x14ac:dyDescent="0.25">
      <c r="C1986" t="s">
        <v>7</v>
      </c>
      <c r="D1986" t="s">
        <v>8</v>
      </c>
      <c r="E1986" t="s">
        <v>9</v>
      </c>
      <c r="F1986" t="s">
        <v>10</v>
      </c>
      <c r="G1986" t="s">
        <v>124</v>
      </c>
      <c r="H1986" t="s">
        <v>12</v>
      </c>
      <c r="I1986" t="s">
        <v>13</v>
      </c>
      <c r="J1986" t="s">
        <v>14</v>
      </c>
    </row>
    <row r="1987" spans="1:10" x14ac:dyDescent="0.25">
      <c r="C1987" t="s">
        <v>15</v>
      </c>
      <c r="D1987" t="s">
        <v>15</v>
      </c>
      <c r="E1987" t="s">
        <v>15</v>
      </c>
      <c r="F1987" t="s">
        <v>16</v>
      </c>
      <c r="G1987" t="s">
        <v>15</v>
      </c>
      <c r="H1987" t="s">
        <v>17</v>
      </c>
      <c r="I1987" t="s">
        <v>16</v>
      </c>
      <c r="J1987" t="s">
        <v>16</v>
      </c>
    </row>
    <row r="1988" spans="1:10" x14ac:dyDescent="0.25">
      <c r="A1988" t="s">
        <v>18</v>
      </c>
      <c r="B1988" t="s">
        <v>19</v>
      </c>
      <c r="C1988" t="s">
        <v>20</v>
      </c>
      <c r="D1988" t="s">
        <v>21</v>
      </c>
      <c r="E1988" t="s">
        <v>22</v>
      </c>
      <c r="F1988" t="s">
        <v>23</v>
      </c>
      <c r="G1988" t="s">
        <v>24</v>
      </c>
      <c r="H1988" t="s">
        <v>20</v>
      </c>
      <c r="I1988" t="s">
        <v>24</v>
      </c>
      <c r="J1988" t="s">
        <v>20</v>
      </c>
    </row>
    <row r="1990" spans="1:10" x14ac:dyDescent="0.25">
      <c r="A1990" t="s">
        <v>372</v>
      </c>
      <c r="B1990" t="s">
        <v>373</v>
      </c>
    </row>
    <row r="1991" spans="1:10" x14ac:dyDescent="0.25">
      <c r="A1991" t="s">
        <v>389</v>
      </c>
      <c r="B1991" t="s">
        <v>1467</v>
      </c>
    </row>
    <row r="1993" spans="1:10" x14ac:dyDescent="0.25">
      <c r="A1993" t="s">
        <v>391</v>
      </c>
      <c r="B1993" t="s">
        <v>392</v>
      </c>
    </row>
    <row r="1994" spans="1:10" x14ac:dyDescent="0.25">
      <c r="A1994" t="s">
        <v>18</v>
      </c>
      <c r="B1994" t="s">
        <v>228</v>
      </c>
    </row>
    <row r="1995" spans="1:10" x14ac:dyDescent="0.25">
      <c r="A1995" t="s">
        <v>1468</v>
      </c>
      <c r="B1995" t="s">
        <v>569</v>
      </c>
      <c r="C1995" s="2">
        <v>1452</v>
      </c>
      <c r="D1995" s="2">
        <v>3839</v>
      </c>
      <c r="E1995">
        <v>0</v>
      </c>
      <c r="F1995">
        <v>0</v>
      </c>
      <c r="G1995">
        <v>0</v>
      </c>
      <c r="H1995">
        <v>0</v>
      </c>
      <c r="I1995" t="s">
        <v>22</v>
      </c>
      <c r="J1995" t="s">
        <v>22</v>
      </c>
    </row>
    <row r="1996" spans="1:10" x14ac:dyDescent="0.25">
      <c r="A1996" t="s">
        <v>1469</v>
      </c>
      <c r="B1996" t="s">
        <v>396</v>
      </c>
      <c r="C1996">
        <v>112</v>
      </c>
      <c r="D1996">
        <v>43</v>
      </c>
      <c r="E1996">
        <v>469</v>
      </c>
      <c r="F1996" s="2">
        <v>1008</v>
      </c>
      <c r="G1996">
        <v>157</v>
      </c>
      <c r="H1996">
        <v>0</v>
      </c>
      <c r="I1996" t="s">
        <v>22</v>
      </c>
      <c r="J1996" t="s">
        <v>22</v>
      </c>
    </row>
    <row r="1997" spans="1:10" x14ac:dyDescent="0.25">
      <c r="A1997" t="s">
        <v>1470</v>
      </c>
      <c r="B1997" t="s">
        <v>398</v>
      </c>
      <c r="C1997" s="2">
        <v>11140</v>
      </c>
      <c r="D1997" s="2">
        <v>14538</v>
      </c>
      <c r="E1997" s="2">
        <v>15585</v>
      </c>
      <c r="F1997" s="2">
        <v>16712</v>
      </c>
      <c r="G1997" s="2">
        <v>11306</v>
      </c>
      <c r="H1997">
        <v>0</v>
      </c>
      <c r="I1997" t="s">
        <v>22</v>
      </c>
      <c r="J1997" t="s">
        <v>22</v>
      </c>
    </row>
    <row r="1998" spans="1:10" x14ac:dyDescent="0.25">
      <c r="A1998" t="s">
        <v>1471</v>
      </c>
      <c r="B1998" t="s">
        <v>400</v>
      </c>
      <c r="C1998" s="2">
        <v>9336</v>
      </c>
      <c r="D1998" s="2">
        <v>12730</v>
      </c>
      <c r="E1998" s="2">
        <v>16383</v>
      </c>
      <c r="F1998" s="2">
        <v>18857</v>
      </c>
      <c r="G1998" s="2">
        <v>11137</v>
      </c>
      <c r="H1998">
        <v>0</v>
      </c>
      <c r="I1998" t="s">
        <v>22</v>
      </c>
      <c r="J1998" t="s">
        <v>22</v>
      </c>
    </row>
    <row r="1999" spans="1:10" x14ac:dyDescent="0.25">
      <c r="A1999" t="s">
        <v>1472</v>
      </c>
      <c r="B1999" t="s">
        <v>574</v>
      </c>
      <c r="C1999" s="2">
        <v>20971</v>
      </c>
      <c r="D1999" s="2">
        <v>23404</v>
      </c>
      <c r="E1999" s="2">
        <v>38360</v>
      </c>
      <c r="F1999" s="2">
        <v>48784</v>
      </c>
      <c r="G1999" s="2">
        <v>25986</v>
      </c>
      <c r="H1999">
        <v>0</v>
      </c>
      <c r="I1999" t="s">
        <v>22</v>
      </c>
      <c r="J1999" t="s">
        <v>22</v>
      </c>
    </row>
    <row r="2000" spans="1:10" x14ac:dyDescent="0.25">
      <c r="A2000" t="s">
        <v>1473</v>
      </c>
      <c r="B2000" t="s">
        <v>404</v>
      </c>
      <c r="C2000" s="2">
        <v>1328</v>
      </c>
      <c r="D2000" s="2">
        <v>1436</v>
      </c>
      <c r="E2000" s="2">
        <v>1897</v>
      </c>
      <c r="F2000" s="2">
        <v>1962</v>
      </c>
      <c r="G2000" s="2">
        <v>1249</v>
      </c>
      <c r="H2000">
        <v>0</v>
      </c>
      <c r="I2000" t="s">
        <v>22</v>
      </c>
      <c r="J2000" t="s">
        <v>22</v>
      </c>
    </row>
    <row r="2001" spans="1:10" x14ac:dyDescent="0.25">
      <c r="A2001" t="s">
        <v>1474</v>
      </c>
      <c r="B2001" t="s">
        <v>406</v>
      </c>
      <c r="C2001">
        <v>716</v>
      </c>
      <c r="D2001" s="2">
        <v>2543</v>
      </c>
      <c r="E2001">
        <v>858</v>
      </c>
      <c r="F2001">
        <v>944</v>
      </c>
      <c r="G2001" s="2">
        <v>1366</v>
      </c>
      <c r="H2001">
        <v>0</v>
      </c>
      <c r="I2001" t="s">
        <v>22</v>
      </c>
      <c r="J2001" t="s">
        <v>22</v>
      </c>
    </row>
    <row r="2002" spans="1:10" x14ac:dyDescent="0.25">
      <c r="A2002" t="s">
        <v>1475</v>
      </c>
      <c r="B2002" t="s">
        <v>1476</v>
      </c>
      <c r="C2002" s="2">
        <v>69589</v>
      </c>
      <c r="D2002" s="2">
        <v>89304</v>
      </c>
      <c r="E2002" s="2">
        <v>90089</v>
      </c>
      <c r="F2002" s="2">
        <v>94593</v>
      </c>
      <c r="G2002" s="2">
        <v>65141</v>
      </c>
      <c r="H2002">
        <v>0</v>
      </c>
      <c r="I2002" t="s">
        <v>22</v>
      </c>
      <c r="J2002" t="s">
        <v>22</v>
      </c>
    </row>
    <row r="2003" spans="1:10" x14ac:dyDescent="0.25">
      <c r="A2003" t="s">
        <v>1477</v>
      </c>
      <c r="B2003" t="s">
        <v>1478</v>
      </c>
      <c r="C2003" s="2">
        <v>73668</v>
      </c>
      <c r="D2003" s="2">
        <v>98696</v>
      </c>
      <c r="E2003" s="2">
        <v>113498</v>
      </c>
      <c r="F2003" s="2">
        <v>123027</v>
      </c>
      <c r="G2003" s="2">
        <v>81977</v>
      </c>
      <c r="H2003">
        <v>0</v>
      </c>
      <c r="I2003" t="s">
        <v>22</v>
      </c>
      <c r="J2003" t="s">
        <v>22</v>
      </c>
    </row>
    <row r="2004" spans="1:10" x14ac:dyDescent="0.25">
      <c r="A2004" t="s">
        <v>1479</v>
      </c>
      <c r="B2004" t="s">
        <v>1480</v>
      </c>
      <c r="C2004">
        <v>0</v>
      </c>
      <c r="D2004">
        <v>0</v>
      </c>
      <c r="E2004">
        <v>0</v>
      </c>
      <c r="F2004">
        <v>0</v>
      </c>
      <c r="G2004">
        <v>0</v>
      </c>
      <c r="H2004">
        <v>0</v>
      </c>
      <c r="I2004" t="s">
        <v>22</v>
      </c>
      <c r="J2004" t="s">
        <v>22</v>
      </c>
    </row>
    <row r="2005" spans="1:10" x14ac:dyDescent="0.25">
      <c r="A2005" t="s">
        <v>1481</v>
      </c>
      <c r="B2005" t="s">
        <v>424</v>
      </c>
      <c r="C2005" s="2">
        <v>1038</v>
      </c>
      <c r="D2005" s="2">
        <v>1003</v>
      </c>
      <c r="E2005" s="2">
        <v>1073</v>
      </c>
      <c r="F2005">
        <v>791</v>
      </c>
      <c r="G2005">
        <v>900</v>
      </c>
      <c r="H2005">
        <v>0</v>
      </c>
      <c r="I2005" t="s">
        <v>22</v>
      </c>
      <c r="J2005" t="s">
        <v>22</v>
      </c>
    </row>
    <row r="2006" spans="1:10" x14ac:dyDescent="0.25">
      <c r="A2006" t="s">
        <v>1482</v>
      </c>
      <c r="B2006" t="s">
        <v>426</v>
      </c>
      <c r="C2006">
        <v>810</v>
      </c>
      <c r="D2006">
        <v>810</v>
      </c>
      <c r="E2006">
        <v>810</v>
      </c>
      <c r="F2006" s="2">
        <v>1215</v>
      </c>
      <c r="G2006">
        <v>830</v>
      </c>
      <c r="H2006">
        <v>0</v>
      </c>
      <c r="I2006" t="s">
        <v>22</v>
      </c>
      <c r="J2006" t="s">
        <v>22</v>
      </c>
    </row>
    <row r="2007" spans="1:10" x14ac:dyDescent="0.25">
      <c r="A2007" t="s">
        <v>1483</v>
      </c>
      <c r="B2007" t="s">
        <v>428</v>
      </c>
      <c r="C2007">
        <v>600</v>
      </c>
      <c r="D2007">
        <v>600</v>
      </c>
      <c r="E2007">
        <v>600</v>
      </c>
      <c r="F2007">
        <v>600</v>
      </c>
      <c r="G2007">
        <v>415</v>
      </c>
      <c r="H2007">
        <v>0</v>
      </c>
      <c r="I2007" t="s">
        <v>22</v>
      </c>
      <c r="J2007" t="s">
        <v>22</v>
      </c>
    </row>
    <row r="2008" spans="1:10" x14ac:dyDescent="0.25">
      <c r="A2008" t="s">
        <v>1484</v>
      </c>
      <c r="B2008" t="s">
        <v>430</v>
      </c>
      <c r="C2008">
        <v>138</v>
      </c>
      <c r="D2008">
        <v>138</v>
      </c>
      <c r="E2008">
        <v>138</v>
      </c>
      <c r="F2008">
        <v>138</v>
      </c>
      <c r="G2008">
        <v>138</v>
      </c>
      <c r="H2008">
        <v>0</v>
      </c>
      <c r="I2008" t="s">
        <v>22</v>
      </c>
      <c r="J2008" t="s">
        <v>22</v>
      </c>
    </row>
    <row r="2009" spans="1:10" x14ac:dyDescent="0.25">
      <c r="A2009" t="s">
        <v>1485</v>
      </c>
      <c r="B2009" t="s">
        <v>432</v>
      </c>
      <c r="C2009">
        <v>0</v>
      </c>
      <c r="D2009">
        <v>0</v>
      </c>
      <c r="E2009">
        <v>0</v>
      </c>
      <c r="F2009">
        <v>0</v>
      </c>
      <c r="G2009">
        <v>56</v>
      </c>
      <c r="H2009">
        <v>0</v>
      </c>
      <c r="I2009" t="s">
        <v>22</v>
      </c>
      <c r="J2009" t="s">
        <v>22</v>
      </c>
    </row>
    <row r="2010" spans="1:10" x14ac:dyDescent="0.25">
      <c r="A2010" t="s">
        <v>1486</v>
      </c>
      <c r="B2010" t="s">
        <v>434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 t="s">
        <v>22</v>
      </c>
      <c r="J2010" t="s">
        <v>22</v>
      </c>
    </row>
    <row r="2011" spans="1:10" x14ac:dyDescent="0.25">
      <c r="A2011" t="s">
        <v>1487</v>
      </c>
      <c r="B2011" t="s">
        <v>436</v>
      </c>
      <c r="C2011">
        <v>0</v>
      </c>
      <c r="D2011">
        <v>0</v>
      </c>
      <c r="E2011">
        <v>0</v>
      </c>
      <c r="F2011">
        <v>0</v>
      </c>
      <c r="G2011">
        <v>0</v>
      </c>
      <c r="H2011">
        <v>0</v>
      </c>
      <c r="I2011" t="s">
        <v>22</v>
      </c>
      <c r="J2011" t="s">
        <v>22</v>
      </c>
    </row>
    <row r="2012" spans="1:10" x14ac:dyDescent="0.25">
      <c r="A2012" t="s">
        <v>1488</v>
      </c>
      <c r="B2012" t="s">
        <v>607</v>
      </c>
      <c r="C2012">
        <v>0</v>
      </c>
      <c r="D2012">
        <v>0</v>
      </c>
      <c r="E2012">
        <v>0</v>
      </c>
      <c r="F2012">
        <v>0</v>
      </c>
      <c r="G2012">
        <v>0</v>
      </c>
      <c r="H2012">
        <v>0</v>
      </c>
      <c r="I2012" t="s">
        <v>22</v>
      </c>
      <c r="J2012" t="s">
        <v>22</v>
      </c>
    </row>
    <row r="2013" spans="1:10" x14ac:dyDescent="0.25">
      <c r="C2013" t="s">
        <v>108</v>
      </c>
      <c r="D2013" t="s">
        <v>108</v>
      </c>
      <c r="E2013" t="s">
        <v>108</v>
      </c>
      <c r="F2013" t="s">
        <v>108</v>
      </c>
      <c r="G2013" t="s">
        <v>108</v>
      </c>
    </row>
    <row r="2014" spans="1:10" x14ac:dyDescent="0.25">
      <c r="H2014" t="s">
        <v>22</v>
      </c>
      <c r="I2014" t="s">
        <v>22</v>
      </c>
      <c r="J2014" t="s">
        <v>22</v>
      </c>
    </row>
    <row r="2015" spans="1:10" x14ac:dyDescent="0.25">
      <c r="A2015" t="s">
        <v>109</v>
      </c>
    </row>
    <row r="2016" spans="1:10" x14ac:dyDescent="0.25">
      <c r="B2016" t="s">
        <v>441</v>
      </c>
      <c r="C2016" s="2">
        <v>190898</v>
      </c>
      <c r="D2016" s="2">
        <v>249084</v>
      </c>
      <c r="E2016" s="2">
        <v>279759</v>
      </c>
      <c r="F2016" s="2">
        <v>308631</v>
      </c>
      <c r="G2016" s="2">
        <v>200659</v>
      </c>
      <c r="H2016">
        <v>0</v>
      </c>
    </row>
    <row r="2018" spans="1:10" x14ac:dyDescent="0.25">
      <c r="A2018" t="s">
        <v>442</v>
      </c>
      <c r="B2018" t="s">
        <v>443</v>
      </c>
    </row>
    <row r="2019" spans="1:10" x14ac:dyDescent="0.25">
      <c r="A2019" t="s">
        <v>18</v>
      </c>
      <c r="B2019" t="s">
        <v>21</v>
      </c>
    </row>
    <row r="2020" spans="1:10" x14ac:dyDescent="0.25">
      <c r="A2020" t="s">
        <v>1489</v>
      </c>
      <c r="B2020" t="s">
        <v>445</v>
      </c>
      <c r="C2020" s="2">
        <v>1402</v>
      </c>
      <c r="D2020" s="2">
        <v>1664</v>
      </c>
      <c r="E2020" s="2">
        <v>1927</v>
      </c>
      <c r="F2020" s="2">
        <v>2119</v>
      </c>
      <c r="G2020" s="2">
        <v>2167</v>
      </c>
      <c r="H2020">
        <v>0</v>
      </c>
      <c r="I2020" t="s">
        <v>22</v>
      </c>
      <c r="J2020" t="s">
        <v>22</v>
      </c>
    </row>
    <row r="2021" spans="1:10" x14ac:dyDescent="0.25">
      <c r="A2021" t="s">
        <v>1490</v>
      </c>
      <c r="B2021" t="s">
        <v>449</v>
      </c>
      <c r="C2021">
        <v>0</v>
      </c>
      <c r="D2021">
        <v>0</v>
      </c>
      <c r="E2021">
        <v>354</v>
      </c>
      <c r="F2021" s="2">
        <v>2400</v>
      </c>
      <c r="G2021" s="2">
        <v>1058</v>
      </c>
      <c r="H2021">
        <v>0</v>
      </c>
      <c r="I2021" t="s">
        <v>22</v>
      </c>
      <c r="J2021" t="s">
        <v>22</v>
      </c>
    </row>
    <row r="2022" spans="1:10" x14ac:dyDescent="0.25">
      <c r="A2022" t="s">
        <v>1491</v>
      </c>
      <c r="B2022" t="s">
        <v>451</v>
      </c>
      <c r="C2022">
        <v>0</v>
      </c>
      <c r="D2022">
        <v>26</v>
      </c>
      <c r="E2022">
        <v>15</v>
      </c>
      <c r="F2022">
        <v>920</v>
      </c>
      <c r="G2022">
        <v>357</v>
      </c>
      <c r="H2022">
        <v>0</v>
      </c>
      <c r="I2022" t="s">
        <v>22</v>
      </c>
      <c r="J2022" t="s">
        <v>22</v>
      </c>
    </row>
    <row r="2023" spans="1:10" x14ac:dyDescent="0.25">
      <c r="A2023" t="s">
        <v>1492</v>
      </c>
      <c r="B2023" t="s">
        <v>1493</v>
      </c>
      <c r="C2023">
        <v>0</v>
      </c>
      <c r="D2023">
        <v>0</v>
      </c>
      <c r="E2023">
        <v>0</v>
      </c>
      <c r="F2023">
        <v>0</v>
      </c>
      <c r="G2023">
        <v>0</v>
      </c>
      <c r="H2023">
        <v>0</v>
      </c>
      <c r="I2023" t="s">
        <v>22</v>
      </c>
      <c r="J2023" t="s">
        <v>22</v>
      </c>
    </row>
    <row r="2024" spans="1:10" x14ac:dyDescent="0.25">
      <c r="A2024" t="s">
        <v>1494</v>
      </c>
      <c r="B2024" t="s">
        <v>1495</v>
      </c>
      <c r="C2024">
        <v>0</v>
      </c>
      <c r="D2024">
        <v>0</v>
      </c>
      <c r="E2024">
        <v>0</v>
      </c>
      <c r="F2024">
        <v>0</v>
      </c>
      <c r="G2024">
        <v>0</v>
      </c>
      <c r="H2024">
        <v>0</v>
      </c>
      <c r="I2024" t="s">
        <v>22</v>
      </c>
      <c r="J2024" t="s">
        <v>22</v>
      </c>
    </row>
    <row r="2025" spans="1:10" x14ac:dyDescent="0.25">
      <c r="A2025" t="s">
        <v>1496</v>
      </c>
      <c r="B2025" t="s">
        <v>1497</v>
      </c>
      <c r="C2025">
        <v>62</v>
      </c>
      <c r="D2025">
        <v>124</v>
      </c>
      <c r="E2025">
        <v>124</v>
      </c>
      <c r="F2025">
        <v>130</v>
      </c>
      <c r="G2025">
        <v>124</v>
      </c>
      <c r="H2025">
        <v>0</v>
      </c>
      <c r="I2025" t="s">
        <v>22</v>
      </c>
      <c r="J2025" t="s">
        <v>22</v>
      </c>
    </row>
    <row r="2026" spans="1:10" x14ac:dyDescent="0.25">
      <c r="A2026" t="s">
        <v>1498</v>
      </c>
      <c r="B2026" t="s">
        <v>457</v>
      </c>
      <c r="C2026">
        <v>403</v>
      </c>
      <c r="D2026">
        <v>850</v>
      </c>
      <c r="E2026" s="2">
        <v>1241</v>
      </c>
      <c r="F2026" s="2">
        <v>1500</v>
      </c>
      <c r="G2026">
        <v>581</v>
      </c>
      <c r="H2026">
        <v>0</v>
      </c>
      <c r="I2026" t="s">
        <v>22</v>
      </c>
      <c r="J2026" t="s">
        <v>22</v>
      </c>
    </row>
    <row r="2027" spans="1:10" x14ac:dyDescent="0.25">
      <c r="A2027" t="s">
        <v>1499</v>
      </c>
      <c r="B2027" t="s">
        <v>459</v>
      </c>
      <c r="C2027">
        <v>126</v>
      </c>
      <c r="D2027">
        <v>0</v>
      </c>
      <c r="E2027">
        <v>0</v>
      </c>
      <c r="F2027">
        <v>126</v>
      </c>
      <c r="G2027">
        <v>0</v>
      </c>
      <c r="H2027">
        <v>0</v>
      </c>
      <c r="I2027" t="s">
        <v>22</v>
      </c>
      <c r="J2027" t="s">
        <v>22</v>
      </c>
    </row>
    <row r="2028" spans="1:10" x14ac:dyDescent="0.25">
      <c r="A2028" t="s">
        <v>1500</v>
      </c>
      <c r="B2028" t="s">
        <v>465</v>
      </c>
      <c r="C2028">
        <v>0</v>
      </c>
      <c r="D2028">
        <v>0</v>
      </c>
      <c r="E2028">
        <v>0</v>
      </c>
      <c r="F2028">
        <v>0</v>
      </c>
      <c r="G2028">
        <v>0</v>
      </c>
      <c r="H2028">
        <v>0</v>
      </c>
      <c r="I2028" t="s">
        <v>22</v>
      </c>
      <c r="J2028" t="s">
        <v>22</v>
      </c>
    </row>
    <row r="2029" spans="1:10" x14ac:dyDescent="0.25">
      <c r="A2029" t="s">
        <v>1501</v>
      </c>
      <c r="B2029" t="s">
        <v>471</v>
      </c>
      <c r="C2029">
        <v>0</v>
      </c>
      <c r="D2029">
        <v>0</v>
      </c>
      <c r="E2029">
        <v>0</v>
      </c>
      <c r="F2029">
        <v>0</v>
      </c>
      <c r="G2029">
        <v>0</v>
      </c>
      <c r="H2029">
        <v>0</v>
      </c>
      <c r="I2029" t="s">
        <v>22</v>
      </c>
      <c r="J2029" t="s">
        <v>22</v>
      </c>
    </row>
    <row r="2030" spans="1:10" x14ac:dyDescent="0.25">
      <c r="A2030" t="s">
        <v>1502</v>
      </c>
      <c r="B2030" t="s">
        <v>1049</v>
      </c>
      <c r="C2030">
        <v>494</v>
      </c>
      <c r="D2030">
        <v>484</v>
      </c>
      <c r="E2030">
        <v>481</v>
      </c>
      <c r="F2030">
        <v>500</v>
      </c>
      <c r="G2030">
        <v>242</v>
      </c>
      <c r="H2030">
        <v>0</v>
      </c>
      <c r="I2030" t="s">
        <v>22</v>
      </c>
      <c r="J2030" t="s">
        <v>22</v>
      </c>
    </row>
    <row r="2031" spans="1:10" x14ac:dyDescent="0.25">
      <c r="A2031" t="s">
        <v>1503</v>
      </c>
      <c r="B2031" t="s">
        <v>1051</v>
      </c>
      <c r="C2031">
        <v>381</v>
      </c>
      <c r="D2031">
        <v>354</v>
      </c>
      <c r="E2031">
        <v>345</v>
      </c>
      <c r="F2031">
        <v>400</v>
      </c>
      <c r="G2031">
        <v>176</v>
      </c>
      <c r="H2031">
        <v>0</v>
      </c>
      <c r="I2031" t="s">
        <v>22</v>
      </c>
      <c r="J2031" t="s">
        <v>22</v>
      </c>
    </row>
    <row r="2032" spans="1:10" x14ac:dyDescent="0.25">
      <c r="A2032" t="s">
        <v>1504</v>
      </c>
      <c r="B2032" t="s">
        <v>473</v>
      </c>
      <c r="C2032" s="2">
        <v>2632</v>
      </c>
      <c r="D2032" s="2">
        <v>2089</v>
      </c>
      <c r="E2032" s="2">
        <v>27480</v>
      </c>
      <c r="F2032" s="2">
        <v>3000</v>
      </c>
      <c r="G2032" s="2">
        <v>2292</v>
      </c>
      <c r="H2032">
        <v>0</v>
      </c>
      <c r="I2032" t="s">
        <v>22</v>
      </c>
      <c r="J2032" t="s">
        <v>22</v>
      </c>
    </row>
    <row r="2033" spans="1:10" x14ac:dyDescent="0.25">
      <c r="A2033" t="s">
        <v>1505</v>
      </c>
      <c r="B2033" t="s">
        <v>475</v>
      </c>
      <c r="C2033" s="2">
        <v>2236</v>
      </c>
      <c r="D2033">
        <v>142</v>
      </c>
      <c r="E2033">
        <v>250</v>
      </c>
      <c r="F2033" s="2">
        <v>4200</v>
      </c>
      <c r="G2033">
        <v>138</v>
      </c>
      <c r="H2033">
        <v>0</v>
      </c>
      <c r="I2033" t="s">
        <v>22</v>
      </c>
      <c r="J2033" t="s">
        <v>22</v>
      </c>
    </row>
    <row r="2034" spans="1:10" x14ac:dyDescent="0.25">
      <c r="A2034" t="s">
        <v>1506</v>
      </c>
      <c r="B2034" t="s">
        <v>1507</v>
      </c>
      <c r="C2034">
        <v>0</v>
      </c>
      <c r="D2034" s="2">
        <v>3571</v>
      </c>
      <c r="E2034" s="2">
        <v>4688</v>
      </c>
      <c r="F2034" s="2">
        <v>12000</v>
      </c>
      <c r="G2034" s="2">
        <v>2901</v>
      </c>
      <c r="H2034">
        <v>0</v>
      </c>
      <c r="I2034" t="s">
        <v>22</v>
      </c>
      <c r="J2034" t="s">
        <v>22</v>
      </c>
    </row>
    <row r="2035" spans="1:10" x14ac:dyDescent="0.25">
      <c r="A2035" t="s">
        <v>1508</v>
      </c>
      <c r="B2035" t="s">
        <v>477</v>
      </c>
      <c r="C2035">
        <v>0</v>
      </c>
      <c r="D2035">
        <v>228</v>
      </c>
      <c r="E2035">
        <v>554</v>
      </c>
      <c r="F2035" s="2">
        <v>1000</v>
      </c>
      <c r="G2035" s="2">
        <v>1213</v>
      </c>
      <c r="H2035">
        <v>0</v>
      </c>
      <c r="I2035" t="s">
        <v>22</v>
      </c>
      <c r="J2035" t="s">
        <v>22</v>
      </c>
    </row>
    <row r="2036" spans="1:10" x14ac:dyDescent="0.25">
      <c r="C2036" t="s">
        <v>108</v>
      </c>
      <c r="D2036" t="s">
        <v>108</v>
      </c>
      <c r="E2036" t="s">
        <v>108</v>
      </c>
      <c r="F2036" t="s">
        <v>108</v>
      </c>
      <c r="G2036" t="s">
        <v>108</v>
      </c>
    </row>
    <row r="2037" spans="1:10" x14ac:dyDescent="0.25">
      <c r="H2037" t="s">
        <v>22</v>
      </c>
      <c r="I2037" t="s">
        <v>22</v>
      </c>
      <c r="J2037" t="s">
        <v>22</v>
      </c>
    </row>
    <row r="2038" spans="1:10" x14ac:dyDescent="0.25">
      <c r="A2038" t="s">
        <v>109</v>
      </c>
    </row>
    <row r="2039" spans="1:10" x14ac:dyDescent="0.25">
      <c r="B2039" t="s">
        <v>478</v>
      </c>
      <c r="C2039" s="2">
        <v>7736</v>
      </c>
      <c r="D2039" s="2">
        <v>9532</v>
      </c>
      <c r="E2039" s="2">
        <v>37459</v>
      </c>
      <c r="F2039" s="2">
        <v>28295</v>
      </c>
      <c r="G2039" s="2">
        <v>11249</v>
      </c>
      <c r="H2039">
        <v>0</v>
      </c>
    </row>
    <row r="2041" spans="1:10" x14ac:dyDescent="0.25">
      <c r="A2041" t="s">
        <v>489</v>
      </c>
    </row>
    <row r="2042" spans="1:10" x14ac:dyDescent="0.25">
      <c r="A2042" t="s">
        <v>18</v>
      </c>
    </row>
    <row r="2043" spans="1:10" x14ac:dyDescent="0.25">
      <c r="A2043" t="s">
        <v>1509</v>
      </c>
      <c r="B2043" t="s">
        <v>491</v>
      </c>
      <c r="C2043" s="2">
        <v>6302</v>
      </c>
      <c r="D2043" s="2">
        <v>2179</v>
      </c>
      <c r="E2043" s="2">
        <v>3170</v>
      </c>
      <c r="F2043" s="2">
        <v>14000</v>
      </c>
      <c r="G2043" s="2">
        <v>1051</v>
      </c>
      <c r="H2043">
        <v>0</v>
      </c>
      <c r="I2043" t="s">
        <v>22</v>
      </c>
      <c r="J2043" t="s">
        <v>22</v>
      </c>
    </row>
    <row r="2044" spans="1:10" x14ac:dyDescent="0.25">
      <c r="A2044" t="s">
        <v>1510</v>
      </c>
      <c r="B2044" t="s">
        <v>493</v>
      </c>
      <c r="C2044">
        <v>0</v>
      </c>
      <c r="D2044">
        <v>0</v>
      </c>
      <c r="E2044">
        <v>0</v>
      </c>
      <c r="F2044">
        <v>380</v>
      </c>
      <c r="G2044">
        <v>0</v>
      </c>
      <c r="H2044">
        <v>0</v>
      </c>
      <c r="I2044" t="s">
        <v>22</v>
      </c>
      <c r="J2044" t="s">
        <v>22</v>
      </c>
    </row>
    <row r="2045" spans="1:10" x14ac:dyDescent="0.25">
      <c r="A2045" t="s">
        <v>1511</v>
      </c>
      <c r="B2045" t="s">
        <v>489</v>
      </c>
      <c r="C2045" s="2">
        <v>4285</v>
      </c>
      <c r="D2045" s="2">
        <v>3301</v>
      </c>
      <c r="E2045" s="2">
        <v>4953</v>
      </c>
      <c r="F2045" s="2">
        <v>6000</v>
      </c>
      <c r="G2045" s="2">
        <v>2940</v>
      </c>
      <c r="H2045">
        <v>0</v>
      </c>
      <c r="I2045" t="s">
        <v>22</v>
      </c>
      <c r="J2045" t="s">
        <v>22</v>
      </c>
    </row>
    <row r="2046" spans="1:10" x14ac:dyDescent="0.25">
      <c r="A2046" t="s">
        <v>1512</v>
      </c>
      <c r="B2046" t="s">
        <v>498</v>
      </c>
      <c r="C2046">
        <v>0</v>
      </c>
      <c r="D2046">
        <v>0</v>
      </c>
      <c r="E2046">
        <v>0</v>
      </c>
      <c r="F2046">
        <v>0</v>
      </c>
      <c r="G2046">
        <v>0</v>
      </c>
      <c r="H2046">
        <v>0</v>
      </c>
      <c r="I2046" t="s">
        <v>22</v>
      </c>
      <c r="J2046" t="s">
        <v>22</v>
      </c>
    </row>
    <row r="2047" spans="1:10" x14ac:dyDescent="0.25">
      <c r="A2047" t="s">
        <v>1513</v>
      </c>
      <c r="B2047" t="s">
        <v>500</v>
      </c>
      <c r="C2047">
        <v>0</v>
      </c>
      <c r="D2047">
        <v>0</v>
      </c>
      <c r="E2047">
        <v>0</v>
      </c>
      <c r="F2047">
        <v>0</v>
      </c>
      <c r="G2047">
        <v>0</v>
      </c>
      <c r="H2047">
        <v>0</v>
      </c>
      <c r="I2047" t="s">
        <v>22</v>
      </c>
      <c r="J2047" t="s">
        <v>22</v>
      </c>
    </row>
    <row r="2048" spans="1:10" x14ac:dyDescent="0.25">
      <c r="C2048" t="s">
        <v>108</v>
      </c>
      <c r="D2048" t="s">
        <v>108</v>
      </c>
      <c r="E2048" t="s">
        <v>108</v>
      </c>
      <c r="F2048" t="s">
        <v>108</v>
      </c>
      <c r="G2048" t="s">
        <v>108</v>
      </c>
    </row>
    <row r="2049" spans="1:10" x14ac:dyDescent="0.25">
      <c r="H2049" t="s">
        <v>22</v>
      </c>
      <c r="I2049" t="s">
        <v>22</v>
      </c>
      <c r="J2049" t="s">
        <v>22</v>
      </c>
    </row>
    <row r="2050" spans="1:10" x14ac:dyDescent="0.25">
      <c r="A2050" t="s">
        <v>109</v>
      </c>
    </row>
    <row r="2051" spans="1:10" x14ac:dyDescent="0.25">
      <c r="B2051" t="s">
        <v>489</v>
      </c>
      <c r="C2051" s="2">
        <v>10587</v>
      </c>
      <c r="D2051" s="2">
        <v>5480</v>
      </c>
      <c r="E2051" s="2">
        <v>8122</v>
      </c>
      <c r="F2051" s="2">
        <v>20380</v>
      </c>
      <c r="G2051" s="2">
        <v>3992</v>
      </c>
      <c r="H2051">
        <v>0</v>
      </c>
    </row>
    <row r="2052" spans="1:10" x14ac:dyDescent="0.25">
      <c r="A2052" t="s">
        <v>110</v>
      </c>
    </row>
    <row r="2053" spans="1:10" x14ac:dyDescent="0.25">
      <c r="A2053" s="1">
        <v>43991</v>
      </c>
      <c r="B2053" t="s">
        <v>111</v>
      </c>
      <c r="D2053" t="s">
        <v>112</v>
      </c>
      <c r="E2053" t="s">
        <v>113</v>
      </c>
      <c r="F2053" t="s">
        <v>114</v>
      </c>
      <c r="J2053" t="s">
        <v>1514</v>
      </c>
    </row>
    <row r="2054" spans="1:10" x14ac:dyDescent="0.25">
      <c r="D2054" t="s">
        <v>116</v>
      </c>
      <c r="E2054" t="s">
        <v>117</v>
      </c>
      <c r="F2054" t="s">
        <v>118</v>
      </c>
    </row>
    <row r="2055" spans="1:10" x14ac:dyDescent="0.25">
      <c r="D2055" t="s">
        <v>119</v>
      </c>
      <c r="E2055" t="s">
        <v>120</v>
      </c>
      <c r="F2055" t="s">
        <v>121</v>
      </c>
    </row>
    <row r="2056" spans="1:10" x14ac:dyDescent="0.25">
      <c r="A2056" t="s">
        <v>122</v>
      </c>
      <c r="B2056" t="s">
        <v>123</v>
      </c>
    </row>
    <row r="2057" spans="1:10" x14ac:dyDescent="0.25">
      <c r="A2057" t="s">
        <v>386</v>
      </c>
    </row>
    <row r="2058" spans="1:10" x14ac:dyDescent="0.25">
      <c r="F2058" t="s">
        <v>2</v>
      </c>
      <c r="G2058" t="s">
        <v>3</v>
      </c>
      <c r="H2058" t="s">
        <v>4</v>
      </c>
      <c r="I2058" t="s">
        <v>5</v>
      </c>
      <c r="J2058" t="s">
        <v>6</v>
      </c>
    </row>
    <row r="2059" spans="1:10" x14ac:dyDescent="0.25">
      <c r="C2059" t="s">
        <v>7</v>
      </c>
      <c r="D2059" t="s">
        <v>8</v>
      </c>
      <c r="E2059" t="s">
        <v>9</v>
      </c>
      <c r="F2059" t="s">
        <v>10</v>
      </c>
      <c r="G2059" t="s">
        <v>124</v>
      </c>
      <c r="H2059" t="s">
        <v>12</v>
      </c>
      <c r="I2059" t="s">
        <v>13</v>
      </c>
      <c r="J2059" t="s">
        <v>14</v>
      </c>
    </row>
    <row r="2060" spans="1:10" x14ac:dyDescent="0.25">
      <c r="C2060" t="s">
        <v>15</v>
      </c>
      <c r="D2060" t="s">
        <v>15</v>
      </c>
      <c r="E2060" t="s">
        <v>15</v>
      </c>
      <c r="F2060" t="s">
        <v>16</v>
      </c>
      <c r="G2060" t="s">
        <v>15</v>
      </c>
      <c r="H2060" t="s">
        <v>17</v>
      </c>
      <c r="I2060" t="s">
        <v>16</v>
      </c>
      <c r="J2060" t="s">
        <v>16</v>
      </c>
    </row>
    <row r="2061" spans="1:10" x14ac:dyDescent="0.25">
      <c r="A2061" t="s">
        <v>18</v>
      </c>
      <c r="B2061" t="s">
        <v>19</v>
      </c>
      <c r="C2061" t="s">
        <v>20</v>
      </c>
      <c r="D2061" t="s">
        <v>21</v>
      </c>
      <c r="E2061" t="s">
        <v>22</v>
      </c>
      <c r="F2061" t="s">
        <v>23</v>
      </c>
      <c r="G2061" t="s">
        <v>24</v>
      </c>
      <c r="H2061" t="s">
        <v>20</v>
      </c>
      <c r="I2061" t="s">
        <v>24</v>
      </c>
      <c r="J2061" t="s">
        <v>20</v>
      </c>
    </row>
    <row r="2063" spans="1:10" x14ac:dyDescent="0.25">
      <c r="A2063" t="s">
        <v>501</v>
      </c>
    </row>
    <row r="2064" spans="1:10" x14ac:dyDescent="0.25">
      <c r="A2064" t="s">
        <v>18</v>
      </c>
    </row>
    <row r="2065" spans="1:10" x14ac:dyDescent="0.25">
      <c r="A2065" t="s">
        <v>1515</v>
      </c>
      <c r="B2065" t="s">
        <v>503</v>
      </c>
      <c r="C2065" s="2">
        <v>3774</v>
      </c>
      <c r="D2065" s="2">
        <v>4373</v>
      </c>
      <c r="E2065" s="2">
        <v>5301</v>
      </c>
      <c r="F2065" s="2">
        <v>5800</v>
      </c>
      <c r="G2065" s="2">
        <v>2986</v>
      </c>
      <c r="H2065">
        <v>0</v>
      </c>
      <c r="I2065" t="s">
        <v>22</v>
      </c>
      <c r="J2065" t="s">
        <v>22</v>
      </c>
    </row>
    <row r="2066" spans="1:10" x14ac:dyDescent="0.25">
      <c r="A2066" t="s">
        <v>1516</v>
      </c>
      <c r="B2066" t="s">
        <v>519</v>
      </c>
      <c r="C2066">
        <v>0</v>
      </c>
      <c r="D2066">
        <v>817</v>
      </c>
      <c r="E2066">
        <v>597</v>
      </c>
      <c r="F2066" s="2">
        <v>3000</v>
      </c>
      <c r="G2066">
        <v>230</v>
      </c>
      <c r="H2066">
        <v>0</v>
      </c>
      <c r="I2066" t="s">
        <v>22</v>
      </c>
      <c r="J2066" t="s">
        <v>22</v>
      </c>
    </row>
    <row r="2067" spans="1:10" x14ac:dyDescent="0.25">
      <c r="A2067" t="s">
        <v>1517</v>
      </c>
      <c r="B2067" t="s">
        <v>521</v>
      </c>
      <c r="C2067" s="2">
        <v>2214</v>
      </c>
      <c r="D2067" s="2">
        <v>2200</v>
      </c>
      <c r="E2067" s="2">
        <v>2560</v>
      </c>
      <c r="F2067" s="2">
        <v>4020</v>
      </c>
      <c r="G2067" s="2">
        <v>2828</v>
      </c>
      <c r="H2067">
        <v>0</v>
      </c>
      <c r="I2067" t="s">
        <v>22</v>
      </c>
      <c r="J2067" t="s">
        <v>22</v>
      </c>
    </row>
    <row r="2068" spans="1:10" x14ac:dyDescent="0.25">
      <c r="C2068" t="s">
        <v>108</v>
      </c>
      <c r="D2068" t="s">
        <v>108</v>
      </c>
      <c r="E2068" t="s">
        <v>108</v>
      </c>
      <c r="F2068" t="s">
        <v>108</v>
      </c>
      <c r="G2068" t="s">
        <v>108</v>
      </c>
    </row>
    <row r="2069" spans="1:10" x14ac:dyDescent="0.25">
      <c r="H2069" t="s">
        <v>22</v>
      </c>
      <c r="I2069" t="s">
        <v>22</v>
      </c>
      <c r="J2069" t="s">
        <v>22</v>
      </c>
    </row>
    <row r="2070" spans="1:10" x14ac:dyDescent="0.25">
      <c r="A2070" t="s">
        <v>109</v>
      </c>
    </row>
    <row r="2071" spans="1:10" x14ac:dyDescent="0.25">
      <c r="B2071" t="s">
        <v>501</v>
      </c>
      <c r="C2071" s="2">
        <v>5988</v>
      </c>
      <c r="D2071" s="2">
        <v>7391</v>
      </c>
      <c r="E2071" s="2">
        <v>8458</v>
      </c>
      <c r="F2071" s="2">
        <v>12820</v>
      </c>
      <c r="G2071" s="2">
        <v>6044</v>
      </c>
      <c r="H2071">
        <v>0</v>
      </c>
    </row>
    <row r="2073" spans="1:10" x14ac:dyDescent="0.25">
      <c r="A2073" t="s">
        <v>524</v>
      </c>
      <c r="B2073" t="s">
        <v>525</v>
      </c>
    </row>
    <row r="2074" spans="1:10" x14ac:dyDescent="0.25">
      <c r="A2074" t="s">
        <v>18</v>
      </c>
      <c r="B2074" t="s">
        <v>526</v>
      </c>
    </row>
    <row r="2075" spans="1:10" x14ac:dyDescent="0.25">
      <c r="A2075" t="s">
        <v>1518</v>
      </c>
      <c r="B2075" t="s">
        <v>530</v>
      </c>
      <c r="C2075">
        <v>0</v>
      </c>
      <c r="D2075">
        <v>0</v>
      </c>
      <c r="E2075">
        <v>0</v>
      </c>
      <c r="F2075" s="2">
        <v>17000</v>
      </c>
      <c r="G2075">
        <v>0</v>
      </c>
      <c r="H2075">
        <v>0</v>
      </c>
      <c r="I2075" t="s">
        <v>22</v>
      </c>
      <c r="J2075" t="s">
        <v>22</v>
      </c>
    </row>
    <row r="2076" spans="1:10" x14ac:dyDescent="0.25">
      <c r="A2076" t="s">
        <v>1519</v>
      </c>
      <c r="B2076" t="s">
        <v>534</v>
      </c>
      <c r="C2076">
        <v>0</v>
      </c>
      <c r="D2076">
        <v>0</v>
      </c>
      <c r="E2076">
        <v>0</v>
      </c>
      <c r="F2076">
        <v>0</v>
      </c>
      <c r="G2076">
        <v>0</v>
      </c>
      <c r="H2076">
        <v>0</v>
      </c>
      <c r="I2076" t="s">
        <v>22</v>
      </c>
      <c r="J2076" t="s">
        <v>22</v>
      </c>
    </row>
    <row r="2077" spans="1:10" x14ac:dyDescent="0.25">
      <c r="C2077" t="s">
        <v>108</v>
      </c>
      <c r="D2077" t="s">
        <v>108</v>
      </c>
      <c r="E2077" t="s">
        <v>108</v>
      </c>
      <c r="F2077" t="s">
        <v>108</v>
      </c>
      <c r="G2077" t="s">
        <v>108</v>
      </c>
    </row>
    <row r="2078" spans="1:10" x14ac:dyDescent="0.25">
      <c r="H2078" t="s">
        <v>22</v>
      </c>
      <c r="I2078" t="s">
        <v>22</v>
      </c>
      <c r="J2078" t="s">
        <v>22</v>
      </c>
    </row>
    <row r="2079" spans="1:10" x14ac:dyDescent="0.25">
      <c r="A2079" t="s">
        <v>109</v>
      </c>
    </row>
    <row r="2080" spans="1:10" x14ac:dyDescent="0.25">
      <c r="B2080" t="s">
        <v>530</v>
      </c>
      <c r="C2080">
        <v>0</v>
      </c>
      <c r="D2080">
        <v>0</v>
      </c>
      <c r="E2080">
        <v>0</v>
      </c>
      <c r="F2080" s="2">
        <v>17000</v>
      </c>
      <c r="G2080">
        <v>0</v>
      </c>
      <c r="H2080">
        <v>0</v>
      </c>
    </row>
    <row r="2081" spans="1:10" x14ac:dyDescent="0.25">
      <c r="A2081" t="s">
        <v>18</v>
      </c>
      <c r="B2081" t="s">
        <v>19</v>
      </c>
      <c r="C2081" t="s">
        <v>20</v>
      </c>
      <c r="D2081" t="s">
        <v>21</v>
      </c>
      <c r="E2081" t="s">
        <v>26</v>
      </c>
    </row>
    <row r="2082" spans="1:10" x14ac:dyDescent="0.25">
      <c r="E2082" t="s">
        <v>339</v>
      </c>
      <c r="F2082" t="s">
        <v>23</v>
      </c>
      <c r="G2082" t="s">
        <v>24</v>
      </c>
      <c r="H2082" t="s">
        <v>20</v>
      </c>
      <c r="I2082" t="s">
        <v>24</v>
      </c>
      <c r="J2082" t="s">
        <v>20</v>
      </c>
    </row>
    <row r="2083" spans="1:10" x14ac:dyDescent="0.25">
      <c r="A2083" t="s">
        <v>109</v>
      </c>
    </row>
    <row r="2084" spans="1:10" x14ac:dyDescent="0.25">
      <c r="A2084">
        <v>45</v>
      </c>
      <c r="B2084" t="e">
        <f>-LIBRARY DEPARTMENT</f>
        <v>#NAME?</v>
      </c>
      <c r="C2084" s="2">
        <v>215208</v>
      </c>
      <c r="D2084" s="2">
        <v>271487</v>
      </c>
      <c r="E2084" s="2">
        <v>333798</v>
      </c>
      <c r="F2084" s="2">
        <v>387126</v>
      </c>
      <c r="G2084" s="2">
        <v>221944</v>
      </c>
      <c r="H2084">
        <v>0</v>
      </c>
    </row>
    <row r="2086" spans="1:10" x14ac:dyDescent="0.25">
      <c r="A2086" t="s">
        <v>1520</v>
      </c>
      <c r="B2086" t="s">
        <v>1521</v>
      </c>
    </row>
    <row r="2087" spans="1:10" x14ac:dyDescent="0.25">
      <c r="A2087" t="s">
        <v>389</v>
      </c>
      <c r="B2087" t="s">
        <v>567</v>
      </c>
    </row>
    <row r="2089" spans="1:10" x14ac:dyDescent="0.25">
      <c r="A2089" t="s">
        <v>391</v>
      </c>
      <c r="B2089" t="s">
        <v>392</v>
      </c>
    </row>
    <row r="2090" spans="1:10" x14ac:dyDescent="0.25">
      <c r="A2090" t="s">
        <v>18</v>
      </c>
      <c r="B2090" t="s">
        <v>228</v>
      </c>
    </row>
    <row r="2091" spans="1:10" x14ac:dyDescent="0.25">
      <c r="A2091" t="s">
        <v>1522</v>
      </c>
      <c r="B2091" t="s">
        <v>428</v>
      </c>
      <c r="C2091">
        <v>0</v>
      </c>
      <c r="D2091">
        <v>0</v>
      </c>
      <c r="E2091">
        <v>0</v>
      </c>
      <c r="F2091">
        <v>0</v>
      </c>
      <c r="G2091">
        <v>0</v>
      </c>
      <c r="H2091">
        <v>0</v>
      </c>
      <c r="I2091" t="s">
        <v>22</v>
      </c>
      <c r="J2091" t="s">
        <v>22</v>
      </c>
    </row>
    <row r="2092" spans="1:10" x14ac:dyDescent="0.25">
      <c r="A2092" t="s">
        <v>1523</v>
      </c>
      <c r="B2092" t="s">
        <v>430</v>
      </c>
      <c r="C2092">
        <v>0</v>
      </c>
      <c r="D2092">
        <v>0</v>
      </c>
      <c r="E2092">
        <v>0</v>
      </c>
      <c r="F2092">
        <v>0</v>
      </c>
      <c r="G2092">
        <v>0</v>
      </c>
      <c r="H2092">
        <v>0</v>
      </c>
      <c r="I2092" t="s">
        <v>22</v>
      </c>
      <c r="J2092" t="s">
        <v>22</v>
      </c>
    </row>
    <row r="2093" spans="1:10" x14ac:dyDescent="0.25">
      <c r="C2093" t="s">
        <v>108</v>
      </c>
      <c r="D2093" t="s">
        <v>108</v>
      </c>
      <c r="E2093" t="s">
        <v>108</v>
      </c>
      <c r="F2093" t="s">
        <v>108</v>
      </c>
      <c r="G2093" t="s">
        <v>108</v>
      </c>
    </row>
    <row r="2094" spans="1:10" x14ac:dyDescent="0.25">
      <c r="H2094" t="s">
        <v>22</v>
      </c>
      <c r="I2094" t="s">
        <v>22</v>
      </c>
      <c r="J2094" t="s">
        <v>22</v>
      </c>
    </row>
    <row r="2095" spans="1:10" x14ac:dyDescent="0.25">
      <c r="A2095" t="s">
        <v>109</v>
      </c>
    </row>
    <row r="2096" spans="1:10" x14ac:dyDescent="0.25">
      <c r="B2096" t="s">
        <v>441</v>
      </c>
      <c r="C2096">
        <v>0</v>
      </c>
      <c r="D2096">
        <v>0</v>
      </c>
      <c r="E2096">
        <v>0</v>
      </c>
      <c r="F2096">
        <v>0</v>
      </c>
      <c r="G2096">
        <v>0</v>
      </c>
      <c r="H2096">
        <v>0</v>
      </c>
    </row>
    <row r="2098" spans="1:10" x14ac:dyDescent="0.25">
      <c r="A2098" t="s">
        <v>442</v>
      </c>
      <c r="B2098" t="s">
        <v>443</v>
      </c>
    </row>
    <row r="2099" spans="1:10" x14ac:dyDescent="0.25">
      <c r="A2099" t="s">
        <v>18</v>
      </c>
      <c r="B2099" t="s">
        <v>21</v>
      </c>
    </row>
    <row r="2100" spans="1:10" x14ac:dyDescent="0.25">
      <c r="A2100" t="s">
        <v>1524</v>
      </c>
      <c r="B2100" t="s">
        <v>449</v>
      </c>
      <c r="C2100" s="2">
        <v>6059</v>
      </c>
      <c r="D2100" s="2">
        <v>7698</v>
      </c>
      <c r="E2100" s="2">
        <v>5424</v>
      </c>
      <c r="F2100" s="2">
        <v>10000</v>
      </c>
      <c r="G2100" s="2">
        <v>10414</v>
      </c>
      <c r="H2100">
        <v>0</v>
      </c>
      <c r="I2100" t="s">
        <v>22</v>
      </c>
      <c r="J2100" t="s">
        <v>22</v>
      </c>
    </row>
    <row r="2101" spans="1:10" x14ac:dyDescent="0.25">
      <c r="A2101" t="s">
        <v>1525</v>
      </c>
      <c r="B2101" t="s">
        <v>451</v>
      </c>
      <c r="C2101" s="2">
        <v>3100</v>
      </c>
      <c r="D2101" s="2">
        <v>4664</v>
      </c>
      <c r="E2101" s="2">
        <v>5950</v>
      </c>
      <c r="F2101" s="2">
        <v>5000</v>
      </c>
      <c r="G2101">
        <v>359</v>
      </c>
      <c r="H2101">
        <v>0</v>
      </c>
      <c r="I2101" t="s">
        <v>22</v>
      </c>
      <c r="J2101" t="s">
        <v>22</v>
      </c>
    </row>
    <row r="2102" spans="1:10" x14ac:dyDescent="0.25">
      <c r="A2102" t="s">
        <v>1526</v>
      </c>
      <c r="B2102" t="s">
        <v>457</v>
      </c>
      <c r="C2102">
        <v>0</v>
      </c>
      <c r="D2102">
        <v>0</v>
      </c>
      <c r="E2102">
        <v>0</v>
      </c>
      <c r="F2102">
        <v>0</v>
      </c>
      <c r="G2102">
        <v>0</v>
      </c>
      <c r="H2102">
        <v>0</v>
      </c>
      <c r="I2102" t="s">
        <v>22</v>
      </c>
      <c r="J2102" t="s">
        <v>22</v>
      </c>
    </row>
    <row r="2103" spans="1:10" x14ac:dyDescent="0.25">
      <c r="A2103" t="s">
        <v>1527</v>
      </c>
      <c r="B2103" t="s">
        <v>1528</v>
      </c>
      <c r="C2103">
        <v>0</v>
      </c>
      <c r="D2103">
        <v>0</v>
      </c>
      <c r="E2103">
        <v>0</v>
      </c>
      <c r="F2103">
        <v>0</v>
      </c>
      <c r="G2103">
        <v>0</v>
      </c>
      <c r="H2103">
        <v>0</v>
      </c>
      <c r="I2103" t="s">
        <v>22</v>
      </c>
      <c r="J2103" t="s">
        <v>22</v>
      </c>
    </row>
    <row r="2104" spans="1:10" x14ac:dyDescent="0.25">
      <c r="A2104" t="s">
        <v>1529</v>
      </c>
      <c r="B2104" t="s">
        <v>475</v>
      </c>
      <c r="C2104" s="2">
        <v>3969</v>
      </c>
      <c r="D2104" s="2">
        <v>3266</v>
      </c>
      <c r="E2104" s="2">
        <v>8585</v>
      </c>
      <c r="F2104" s="2">
        <v>5000</v>
      </c>
      <c r="G2104" s="2">
        <v>7707</v>
      </c>
      <c r="H2104">
        <v>0</v>
      </c>
      <c r="I2104" t="s">
        <v>22</v>
      </c>
      <c r="J2104" t="s">
        <v>22</v>
      </c>
    </row>
    <row r="2105" spans="1:10" x14ac:dyDescent="0.25">
      <c r="A2105" t="s">
        <v>1530</v>
      </c>
      <c r="B2105" t="s">
        <v>762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v>0</v>
      </c>
      <c r="I2105" t="s">
        <v>22</v>
      </c>
      <c r="J2105" t="s">
        <v>22</v>
      </c>
    </row>
    <row r="2106" spans="1:10" x14ac:dyDescent="0.25">
      <c r="C2106" t="s">
        <v>108</v>
      </c>
      <c r="D2106" t="s">
        <v>108</v>
      </c>
      <c r="E2106" t="s">
        <v>108</v>
      </c>
      <c r="F2106" t="s">
        <v>108</v>
      </c>
      <c r="G2106" t="s">
        <v>108</v>
      </c>
    </row>
    <row r="2107" spans="1:10" x14ac:dyDescent="0.25">
      <c r="H2107" t="s">
        <v>22</v>
      </c>
      <c r="I2107" t="s">
        <v>22</v>
      </c>
      <c r="J2107" t="s">
        <v>22</v>
      </c>
    </row>
    <row r="2108" spans="1:10" x14ac:dyDescent="0.25">
      <c r="A2108" t="s">
        <v>109</v>
      </c>
    </row>
    <row r="2109" spans="1:10" x14ac:dyDescent="0.25">
      <c r="B2109" t="s">
        <v>478</v>
      </c>
      <c r="C2109" s="2">
        <v>13128</v>
      </c>
      <c r="D2109" s="2">
        <v>15628</v>
      </c>
      <c r="E2109" s="2">
        <v>19958</v>
      </c>
      <c r="F2109" s="2">
        <v>20000</v>
      </c>
      <c r="G2109" s="2">
        <v>18479</v>
      </c>
      <c r="H2109">
        <v>0</v>
      </c>
    </row>
    <row r="2111" spans="1:10" x14ac:dyDescent="0.25">
      <c r="A2111" t="s">
        <v>489</v>
      </c>
    </row>
    <row r="2112" spans="1:10" x14ac:dyDescent="0.25">
      <c r="A2112" t="s">
        <v>18</v>
      </c>
    </row>
    <row r="2113" spans="1:10" x14ac:dyDescent="0.25">
      <c r="A2113" t="s">
        <v>1531</v>
      </c>
      <c r="B2113" t="s">
        <v>489</v>
      </c>
      <c r="C2113">
        <v>268</v>
      </c>
      <c r="D2113" s="2">
        <v>2175</v>
      </c>
      <c r="E2113">
        <v>301</v>
      </c>
      <c r="F2113" s="2">
        <v>2500</v>
      </c>
      <c r="G2113">
        <v>68</v>
      </c>
      <c r="H2113">
        <v>0</v>
      </c>
      <c r="I2113" t="s">
        <v>22</v>
      </c>
      <c r="J2113" t="s">
        <v>22</v>
      </c>
    </row>
    <row r="2114" spans="1:10" x14ac:dyDescent="0.25">
      <c r="A2114" t="s">
        <v>1532</v>
      </c>
      <c r="B2114" t="s">
        <v>498</v>
      </c>
      <c r="C2114">
        <v>0</v>
      </c>
      <c r="D2114">
        <v>0</v>
      </c>
      <c r="E2114">
        <v>0</v>
      </c>
      <c r="F2114">
        <v>0</v>
      </c>
      <c r="G2114">
        <v>0</v>
      </c>
      <c r="H2114">
        <v>0</v>
      </c>
      <c r="I2114" t="s">
        <v>22</v>
      </c>
      <c r="J2114" t="s">
        <v>22</v>
      </c>
    </row>
    <row r="2115" spans="1:10" x14ac:dyDescent="0.25">
      <c r="A2115" t="s">
        <v>1533</v>
      </c>
      <c r="B2115" t="s">
        <v>500</v>
      </c>
      <c r="C2115">
        <v>0</v>
      </c>
      <c r="D2115">
        <v>0</v>
      </c>
      <c r="E2115">
        <v>0</v>
      </c>
      <c r="F2115">
        <v>0</v>
      </c>
      <c r="G2115">
        <v>0</v>
      </c>
      <c r="H2115">
        <v>0</v>
      </c>
      <c r="I2115" t="s">
        <v>22</v>
      </c>
      <c r="J2115" t="s">
        <v>22</v>
      </c>
    </row>
    <row r="2116" spans="1:10" x14ac:dyDescent="0.25">
      <c r="C2116" t="s">
        <v>108</v>
      </c>
      <c r="D2116" t="s">
        <v>108</v>
      </c>
      <c r="E2116" t="s">
        <v>108</v>
      </c>
      <c r="F2116" t="s">
        <v>108</v>
      </c>
      <c r="G2116" t="s">
        <v>108</v>
      </c>
    </row>
    <row r="2117" spans="1:10" x14ac:dyDescent="0.25">
      <c r="H2117" t="s">
        <v>22</v>
      </c>
      <c r="I2117" t="s">
        <v>22</v>
      </c>
      <c r="J2117" t="s">
        <v>22</v>
      </c>
    </row>
    <row r="2118" spans="1:10" x14ac:dyDescent="0.25">
      <c r="A2118" t="s">
        <v>109</v>
      </c>
    </row>
    <row r="2119" spans="1:10" x14ac:dyDescent="0.25">
      <c r="B2119" t="s">
        <v>489</v>
      </c>
      <c r="C2119">
        <v>268</v>
      </c>
      <c r="D2119" s="2">
        <v>2175</v>
      </c>
      <c r="E2119">
        <v>301</v>
      </c>
      <c r="F2119" s="2">
        <v>2500</v>
      </c>
      <c r="G2119">
        <v>68</v>
      </c>
      <c r="H2119">
        <v>0</v>
      </c>
    </row>
    <row r="2121" spans="1:10" x14ac:dyDescent="0.25">
      <c r="A2121" t="s">
        <v>501</v>
      </c>
    </row>
    <row r="2122" spans="1:10" x14ac:dyDescent="0.25">
      <c r="A2122" t="s">
        <v>18</v>
      </c>
    </row>
    <row r="2123" spans="1:10" x14ac:dyDescent="0.25">
      <c r="A2123" t="s">
        <v>1534</v>
      </c>
      <c r="B2123" t="s">
        <v>503</v>
      </c>
      <c r="C2123">
        <v>753</v>
      </c>
      <c r="D2123">
        <v>847</v>
      </c>
      <c r="E2123" s="2">
        <v>1007</v>
      </c>
      <c r="F2123" s="2">
        <v>2500</v>
      </c>
      <c r="G2123" s="2">
        <v>1101</v>
      </c>
      <c r="H2123">
        <v>0</v>
      </c>
      <c r="I2123" t="s">
        <v>22</v>
      </c>
      <c r="J2123" t="s">
        <v>22</v>
      </c>
    </row>
    <row r="2124" spans="1:10" x14ac:dyDescent="0.25">
      <c r="A2124" t="s">
        <v>1535</v>
      </c>
      <c r="B2124" t="s">
        <v>507</v>
      </c>
      <c r="C2124">
        <v>0</v>
      </c>
      <c r="D2124" s="2">
        <v>22479</v>
      </c>
      <c r="E2124">
        <v>0</v>
      </c>
      <c r="F2124">
        <v>0</v>
      </c>
      <c r="G2124">
        <v>0</v>
      </c>
      <c r="H2124">
        <v>0</v>
      </c>
      <c r="I2124" t="s">
        <v>22</v>
      </c>
      <c r="J2124" t="s">
        <v>22</v>
      </c>
    </row>
    <row r="2125" spans="1:10" x14ac:dyDescent="0.25">
      <c r="A2125" t="s">
        <v>1536</v>
      </c>
      <c r="B2125" t="s">
        <v>519</v>
      </c>
      <c r="C2125">
        <v>116</v>
      </c>
      <c r="D2125">
        <v>10</v>
      </c>
      <c r="E2125">
        <v>0</v>
      </c>
      <c r="F2125">
        <v>500</v>
      </c>
      <c r="G2125">
        <v>0</v>
      </c>
      <c r="H2125">
        <v>0</v>
      </c>
      <c r="I2125" t="s">
        <v>22</v>
      </c>
      <c r="J2125" t="s">
        <v>22</v>
      </c>
    </row>
    <row r="2126" spans="1:10" x14ac:dyDescent="0.25">
      <c r="A2126" t="s">
        <v>1537</v>
      </c>
      <c r="B2126" t="s">
        <v>521</v>
      </c>
      <c r="C2126">
        <v>0</v>
      </c>
      <c r="D2126">
        <v>0</v>
      </c>
      <c r="E2126">
        <v>0</v>
      </c>
      <c r="F2126">
        <v>0</v>
      </c>
      <c r="G2126">
        <v>0</v>
      </c>
      <c r="H2126">
        <v>0</v>
      </c>
      <c r="I2126" t="s">
        <v>22</v>
      </c>
      <c r="J2126" t="s">
        <v>22</v>
      </c>
    </row>
    <row r="2127" spans="1:10" x14ac:dyDescent="0.25">
      <c r="C2127" t="s">
        <v>108</v>
      </c>
      <c r="D2127" t="s">
        <v>108</v>
      </c>
      <c r="E2127" t="s">
        <v>108</v>
      </c>
      <c r="F2127" t="s">
        <v>108</v>
      </c>
      <c r="G2127" t="s">
        <v>108</v>
      </c>
    </row>
    <row r="2128" spans="1:10" x14ac:dyDescent="0.25">
      <c r="H2128" t="s">
        <v>22</v>
      </c>
      <c r="I2128" t="s">
        <v>22</v>
      </c>
      <c r="J2128" t="s">
        <v>22</v>
      </c>
    </row>
    <row r="2129" spans="1:10" x14ac:dyDescent="0.25">
      <c r="A2129" t="s">
        <v>109</v>
      </c>
    </row>
    <row r="2130" spans="1:10" x14ac:dyDescent="0.25">
      <c r="B2130" t="s">
        <v>501</v>
      </c>
      <c r="C2130">
        <v>869</v>
      </c>
      <c r="D2130" s="2">
        <v>23336</v>
      </c>
      <c r="E2130" s="2">
        <v>1007</v>
      </c>
      <c r="F2130" s="2">
        <v>3000</v>
      </c>
      <c r="G2130" s="2">
        <v>1101</v>
      </c>
      <c r="H2130">
        <v>0</v>
      </c>
    </row>
    <row r="2131" spans="1:10" x14ac:dyDescent="0.25">
      <c r="A2131" t="s">
        <v>18</v>
      </c>
      <c r="B2131" t="s">
        <v>19</v>
      </c>
      <c r="C2131" t="s">
        <v>20</v>
      </c>
      <c r="D2131" t="s">
        <v>21</v>
      </c>
      <c r="E2131" t="s">
        <v>26</v>
      </c>
    </row>
    <row r="2132" spans="1:10" x14ac:dyDescent="0.25">
      <c r="E2132" t="s">
        <v>339</v>
      </c>
      <c r="F2132" t="s">
        <v>23</v>
      </c>
      <c r="G2132" t="s">
        <v>24</v>
      </c>
      <c r="H2132" t="s">
        <v>20</v>
      </c>
      <c r="I2132" t="s">
        <v>24</v>
      </c>
      <c r="J2132" t="s">
        <v>20</v>
      </c>
    </row>
    <row r="2133" spans="1:10" x14ac:dyDescent="0.25">
      <c r="A2133" t="s">
        <v>109</v>
      </c>
    </row>
    <row r="2134" spans="1:10" x14ac:dyDescent="0.25">
      <c r="A2134">
        <v>50</v>
      </c>
      <c r="B2134" t="e">
        <f>-CITY COUNCIL MEMBERS</f>
        <v>#NAME?</v>
      </c>
      <c r="C2134" s="2">
        <v>14266</v>
      </c>
      <c r="D2134" s="2">
        <v>41139</v>
      </c>
      <c r="E2134" s="2">
        <v>21266</v>
      </c>
      <c r="F2134" s="2">
        <v>25500</v>
      </c>
      <c r="G2134" s="2">
        <v>19648</v>
      </c>
      <c r="H2134">
        <v>0</v>
      </c>
    </row>
    <row r="2135" spans="1:10" x14ac:dyDescent="0.25">
      <c r="A2135" t="s">
        <v>110</v>
      </c>
    </row>
    <row r="2136" spans="1:10" x14ac:dyDescent="0.25">
      <c r="A2136" s="1">
        <v>43991</v>
      </c>
      <c r="B2136" t="s">
        <v>111</v>
      </c>
      <c r="D2136" t="s">
        <v>112</v>
      </c>
      <c r="E2136" t="s">
        <v>113</v>
      </c>
      <c r="F2136" t="s">
        <v>114</v>
      </c>
      <c r="J2136" t="s">
        <v>1538</v>
      </c>
    </row>
    <row r="2137" spans="1:10" x14ac:dyDescent="0.25">
      <c r="D2137" t="s">
        <v>116</v>
      </c>
      <c r="E2137" t="s">
        <v>117</v>
      </c>
      <c r="F2137" t="s">
        <v>118</v>
      </c>
    </row>
    <row r="2138" spans="1:10" x14ac:dyDescent="0.25">
      <c r="D2138" t="s">
        <v>119</v>
      </c>
      <c r="E2138" t="s">
        <v>120</v>
      </c>
      <c r="F2138" t="s">
        <v>121</v>
      </c>
    </row>
    <row r="2139" spans="1:10" x14ac:dyDescent="0.25">
      <c r="A2139" t="s">
        <v>122</v>
      </c>
      <c r="B2139" t="s">
        <v>123</v>
      </c>
    </row>
    <row r="2140" spans="1:10" x14ac:dyDescent="0.25">
      <c r="A2140" t="s">
        <v>386</v>
      </c>
    </row>
    <row r="2141" spans="1:10" x14ac:dyDescent="0.25">
      <c r="F2141" t="s">
        <v>2</v>
      </c>
      <c r="G2141" t="s">
        <v>3</v>
      </c>
      <c r="H2141" t="s">
        <v>4</v>
      </c>
      <c r="I2141" t="s">
        <v>5</v>
      </c>
      <c r="J2141" t="s">
        <v>6</v>
      </c>
    </row>
    <row r="2142" spans="1:10" x14ac:dyDescent="0.25">
      <c r="C2142" t="s">
        <v>7</v>
      </c>
      <c r="D2142" t="s">
        <v>8</v>
      </c>
      <c r="E2142" t="s">
        <v>9</v>
      </c>
      <c r="F2142" t="s">
        <v>10</v>
      </c>
      <c r="G2142" t="s">
        <v>124</v>
      </c>
      <c r="H2142" t="s">
        <v>12</v>
      </c>
      <c r="I2142" t="s">
        <v>13</v>
      </c>
      <c r="J2142" t="s">
        <v>14</v>
      </c>
    </row>
    <row r="2143" spans="1:10" x14ac:dyDescent="0.25">
      <c r="C2143" t="s">
        <v>15</v>
      </c>
      <c r="D2143" t="s">
        <v>15</v>
      </c>
      <c r="E2143" t="s">
        <v>15</v>
      </c>
      <c r="F2143" t="s">
        <v>16</v>
      </c>
      <c r="G2143" t="s">
        <v>15</v>
      </c>
      <c r="H2143" t="s">
        <v>17</v>
      </c>
      <c r="I2143" t="s">
        <v>16</v>
      </c>
      <c r="J2143" t="s">
        <v>16</v>
      </c>
    </row>
    <row r="2144" spans="1:10" x14ac:dyDescent="0.25">
      <c r="A2144" t="s">
        <v>18</v>
      </c>
      <c r="B2144" t="s">
        <v>19</v>
      </c>
      <c r="C2144" t="s">
        <v>20</v>
      </c>
      <c r="D2144" t="s">
        <v>21</v>
      </c>
      <c r="E2144" t="s">
        <v>22</v>
      </c>
      <c r="F2144" t="s">
        <v>23</v>
      </c>
      <c r="G2144" t="s">
        <v>24</v>
      </c>
      <c r="H2144" t="s">
        <v>20</v>
      </c>
      <c r="I2144" t="s">
        <v>24</v>
      </c>
      <c r="J2144" t="s">
        <v>20</v>
      </c>
    </row>
    <row r="2146" spans="1:10" x14ac:dyDescent="0.25">
      <c r="A2146" t="s">
        <v>1539</v>
      </c>
      <c r="B2146" t="s">
        <v>1540</v>
      </c>
    </row>
    <row r="2147" spans="1:10" x14ac:dyDescent="0.25">
      <c r="A2147" t="s">
        <v>389</v>
      </c>
      <c r="B2147" t="s">
        <v>1541</v>
      </c>
    </row>
    <row r="2149" spans="1:10" x14ac:dyDescent="0.25">
      <c r="A2149" t="s">
        <v>391</v>
      </c>
      <c r="B2149" t="s">
        <v>392</v>
      </c>
    </row>
    <row r="2150" spans="1:10" x14ac:dyDescent="0.25">
      <c r="A2150" t="s">
        <v>18</v>
      </c>
      <c r="B2150" t="s">
        <v>228</v>
      </c>
    </row>
    <row r="2151" spans="1:10" x14ac:dyDescent="0.25">
      <c r="A2151" t="s">
        <v>1542</v>
      </c>
      <c r="B2151" t="s">
        <v>569</v>
      </c>
      <c r="C2151">
        <v>0</v>
      </c>
      <c r="D2151" s="2">
        <v>7349</v>
      </c>
      <c r="E2151">
        <v>0</v>
      </c>
      <c r="F2151">
        <v>0</v>
      </c>
      <c r="G2151">
        <v>0</v>
      </c>
      <c r="H2151">
        <v>0</v>
      </c>
      <c r="I2151" t="s">
        <v>22</v>
      </c>
      <c r="J2151" t="s">
        <v>22</v>
      </c>
    </row>
    <row r="2152" spans="1:10" x14ac:dyDescent="0.25">
      <c r="A2152" t="s">
        <v>1543</v>
      </c>
      <c r="B2152" t="s">
        <v>396</v>
      </c>
      <c r="C2152">
        <v>0</v>
      </c>
      <c r="D2152">
        <v>27</v>
      </c>
      <c r="E2152">
        <v>234</v>
      </c>
      <c r="F2152">
        <v>504</v>
      </c>
      <c r="G2152">
        <v>0</v>
      </c>
      <c r="H2152">
        <v>0</v>
      </c>
      <c r="I2152" t="s">
        <v>22</v>
      </c>
      <c r="J2152" t="s">
        <v>22</v>
      </c>
    </row>
    <row r="2153" spans="1:10" x14ac:dyDescent="0.25">
      <c r="A2153" t="s">
        <v>1544</v>
      </c>
      <c r="B2153" t="s">
        <v>927</v>
      </c>
      <c r="C2153">
        <v>0</v>
      </c>
      <c r="D2153" s="2">
        <v>14225</v>
      </c>
      <c r="E2153" s="2">
        <v>12602</v>
      </c>
      <c r="F2153" s="2">
        <v>13410</v>
      </c>
      <c r="G2153" s="2">
        <v>9242</v>
      </c>
      <c r="H2153">
        <v>0</v>
      </c>
      <c r="I2153" t="s">
        <v>22</v>
      </c>
      <c r="J2153" t="s">
        <v>22</v>
      </c>
    </row>
    <row r="2154" spans="1:10" x14ac:dyDescent="0.25">
      <c r="A2154" t="s">
        <v>1545</v>
      </c>
      <c r="B2154" t="s">
        <v>400</v>
      </c>
      <c r="C2154">
        <v>0</v>
      </c>
      <c r="D2154" s="2">
        <v>15533</v>
      </c>
      <c r="E2154" s="2">
        <v>14817</v>
      </c>
      <c r="F2154" s="2">
        <v>16636</v>
      </c>
      <c r="G2154" s="2">
        <v>10161</v>
      </c>
      <c r="H2154">
        <v>0</v>
      </c>
      <c r="I2154" t="s">
        <v>22</v>
      </c>
      <c r="J2154" t="s">
        <v>22</v>
      </c>
    </row>
    <row r="2155" spans="1:10" x14ac:dyDescent="0.25">
      <c r="A2155" t="s">
        <v>1546</v>
      </c>
      <c r="B2155" t="s">
        <v>402</v>
      </c>
      <c r="C2155">
        <v>0</v>
      </c>
      <c r="D2155" s="2">
        <v>24388</v>
      </c>
      <c r="E2155" s="2">
        <v>28713</v>
      </c>
      <c r="F2155" s="2">
        <v>28212</v>
      </c>
      <c r="G2155" s="2">
        <v>18861</v>
      </c>
      <c r="H2155">
        <v>0</v>
      </c>
      <c r="I2155" t="s">
        <v>22</v>
      </c>
      <c r="J2155" t="s">
        <v>22</v>
      </c>
    </row>
    <row r="2156" spans="1:10" x14ac:dyDescent="0.25">
      <c r="A2156" t="s">
        <v>1547</v>
      </c>
      <c r="B2156" t="s">
        <v>404</v>
      </c>
      <c r="C2156">
        <v>0</v>
      </c>
      <c r="D2156" s="2">
        <v>1531</v>
      </c>
      <c r="E2156" s="2">
        <v>1318</v>
      </c>
      <c r="F2156" s="2">
        <v>1308</v>
      </c>
      <c r="G2156">
        <v>703</v>
      </c>
      <c r="H2156">
        <v>0</v>
      </c>
      <c r="I2156" t="s">
        <v>22</v>
      </c>
      <c r="J2156" t="s">
        <v>22</v>
      </c>
    </row>
    <row r="2157" spans="1:10" x14ac:dyDescent="0.25">
      <c r="A2157" t="s">
        <v>1548</v>
      </c>
      <c r="B2157" t="s">
        <v>406</v>
      </c>
      <c r="C2157">
        <v>0</v>
      </c>
      <c r="D2157" s="2">
        <v>3066</v>
      </c>
      <c r="E2157">
        <v>604</v>
      </c>
      <c r="F2157">
        <v>664</v>
      </c>
      <c r="G2157" s="2">
        <v>1127</v>
      </c>
      <c r="H2157">
        <v>0</v>
      </c>
      <c r="I2157" t="s">
        <v>22</v>
      </c>
      <c r="J2157" t="s">
        <v>22</v>
      </c>
    </row>
    <row r="2158" spans="1:10" x14ac:dyDescent="0.25">
      <c r="A2158" t="s">
        <v>1549</v>
      </c>
      <c r="B2158" t="s">
        <v>1550</v>
      </c>
      <c r="C2158">
        <v>0</v>
      </c>
      <c r="D2158" s="2">
        <v>91346</v>
      </c>
      <c r="E2158" s="2">
        <v>95000</v>
      </c>
      <c r="F2158" s="2">
        <v>99750</v>
      </c>
      <c r="G2158" s="2">
        <v>68692</v>
      </c>
      <c r="H2158">
        <v>0</v>
      </c>
      <c r="I2158" t="s">
        <v>22</v>
      </c>
      <c r="J2158" t="s">
        <v>22</v>
      </c>
    </row>
    <row r="2159" spans="1:10" x14ac:dyDescent="0.25">
      <c r="A2159" t="s">
        <v>1551</v>
      </c>
      <c r="B2159" t="s">
        <v>1552</v>
      </c>
      <c r="C2159">
        <v>0</v>
      </c>
      <c r="D2159" s="2">
        <v>62004</v>
      </c>
      <c r="E2159" s="2">
        <v>64484</v>
      </c>
      <c r="F2159" s="2">
        <v>67708</v>
      </c>
      <c r="G2159" s="2">
        <v>47849</v>
      </c>
      <c r="H2159">
        <v>0</v>
      </c>
      <c r="I2159" t="s">
        <v>22</v>
      </c>
      <c r="J2159" t="s">
        <v>22</v>
      </c>
    </row>
    <row r="2160" spans="1:10" x14ac:dyDescent="0.25">
      <c r="A2160" t="s">
        <v>1553</v>
      </c>
      <c r="B2160" t="s">
        <v>1554</v>
      </c>
      <c r="C2160">
        <v>0</v>
      </c>
      <c r="D2160">
        <v>0</v>
      </c>
      <c r="E2160">
        <v>0</v>
      </c>
      <c r="F2160">
        <v>0</v>
      </c>
      <c r="G2160">
        <v>0</v>
      </c>
      <c r="H2160">
        <v>0</v>
      </c>
      <c r="I2160" t="s">
        <v>22</v>
      </c>
      <c r="J2160" t="s">
        <v>22</v>
      </c>
    </row>
    <row r="2161" spans="1:10" x14ac:dyDescent="0.25">
      <c r="A2161" t="s">
        <v>1555</v>
      </c>
      <c r="B2161" t="s">
        <v>1556</v>
      </c>
      <c r="C2161">
        <v>0</v>
      </c>
      <c r="D2161" s="2">
        <v>26662</v>
      </c>
      <c r="E2161">
        <v>0</v>
      </c>
      <c r="F2161">
        <v>0</v>
      </c>
      <c r="G2161">
        <v>0</v>
      </c>
      <c r="H2161">
        <v>0</v>
      </c>
      <c r="I2161" t="s">
        <v>22</v>
      </c>
      <c r="J2161" t="s">
        <v>22</v>
      </c>
    </row>
    <row r="2162" spans="1:10" x14ac:dyDescent="0.25">
      <c r="A2162" t="s">
        <v>1557</v>
      </c>
      <c r="B2162" t="s">
        <v>422</v>
      </c>
      <c r="C2162">
        <v>0</v>
      </c>
      <c r="D2162" s="2">
        <v>4808</v>
      </c>
      <c r="E2162" s="2">
        <v>5000</v>
      </c>
      <c r="F2162" s="2">
        <v>5000</v>
      </c>
      <c r="G2162" s="2">
        <v>3462</v>
      </c>
      <c r="H2162">
        <v>0</v>
      </c>
      <c r="I2162" t="s">
        <v>22</v>
      </c>
      <c r="J2162" t="s">
        <v>22</v>
      </c>
    </row>
    <row r="2163" spans="1:10" x14ac:dyDescent="0.25">
      <c r="A2163" t="s">
        <v>1558</v>
      </c>
      <c r="B2163" t="s">
        <v>690</v>
      </c>
      <c r="C2163">
        <v>0</v>
      </c>
      <c r="D2163" s="2">
        <v>1107</v>
      </c>
      <c r="E2163">
        <v>692</v>
      </c>
      <c r="F2163">
        <v>784</v>
      </c>
      <c r="G2163">
        <v>761</v>
      </c>
      <c r="H2163">
        <v>0</v>
      </c>
      <c r="I2163" t="s">
        <v>22</v>
      </c>
      <c r="J2163" t="s">
        <v>22</v>
      </c>
    </row>
    <row r="2164" spans="1:10" x14ac:dyDescent="0.25">
      <c r="A2164" t="s">
        <v>1559</v>
      </c>
      <c r="B2164" t="s">
        <v>426</v>
      </c>
      <c r="C2164">
        <v>0</v>
      </c>
      <c r="D2164" s="2">
        <v>1215</v>
      </c>
      <c r="E2164">
        <v>810</v>
      </c>
      <c r="F2164">
        <v>810</v>
      </c>
      <c r="G2164">
        <v>830</v>
      </c>
      <c r="H2164">
        <v>0</v>
      </c>
      <c r="I2164" t="s">
        <v>22</v>
      </c>
      <c r="J2164" t="s">
        <v>22</v>
      </c>
    </row>
    <row r="2165" spans="1:10" x14ac:dyDescent="0.25">
      <c r="A2165" t="s">
        <v>1560</v>
      </c>
      <c r="B2165" t="s">
        <v>428</v>
      </c>
      <c r="C2165">
        <v>0</v>
      </c>
      <c r="D2165" s="2">
        <v>1154</v>
      </c>
      <c r="E2165" s="2">
        <v>1200</v>
      </c>
      <c r="F2165" s="2">
        <v>1200</v>
      </c>
      <c r="G2165">
        <v>831</v>
      </c>
      <c r="H2165">
        <v>0</v>
      </c>
      <c r="I2165" t="s">
        <v>22</v>
      </c>
      <c r="J2165" t="s">
        <v>22</v>
      </c>
    </row>
    <row r="2166" spans="1:10" x14ac:dyDescent="0.25">
      <c r="A2166" t="s">
        <v>1561</v>
      </c>
      <c r="B2166" t="s">
        <v>430</v>
      </c>
      <c r="C2166">
        <v>0</v>
      </c>
      <c r="D2166">
        <v>104</v>
      </c>
      <c r="E2166">
        <v>69</v>
      </c>
      <c r="F2166">
        <v>69</v>
      </c>
      <c r="G2166">
        <v>69</v>
      </c>
      <c r="H2166">
        <v>0</v>
      </c>
      <c r="I2166" t="s">
        <v>22</v>
      </c>
      <c r="J2166" t="s">
        <v>22</v>
      </c>
    </row>
    <row r="2167" spans="1:10" x14ac:dyDescent="0.25">
      <c r="A2167" t="s">
        <v>1562</v>
      </c>
      <c r="B2167" t="s">
        <v>432</v>
      </c>
      <c r="C2167">
        <v>0</v>
      </c>
      <c r="D2167">
        <v>0</v>
      </c>
      <c r="E2167">
        <v>0</v>
      </c>
      <c r="F2167">
        <v>0</v>
      </c>
      <c r="G2167">
        <v>0</v>
      </c>
      <c r="H2167">
        <v>0</v>
      </c>
      <c r="I2167" t="s">
        <v>22</v>
      </c>
      <c r="J2167" t="s">
        <v>22</v>
      </c>
    </row>
    <row r="2168" spans="1:10" x14ac:dyDescent="0.25">
      <c r="A2168" t="s">
        <v>1563</v>
      </c>
      <c r="B2168" t="s">
        <v>434</v>
      </c>
      <c r="C2168">
        <v>0</v>
      </c>
      <c r="D2168">
        <v>0</v>
      </c>
      <c r="E2168">
        <v>0</v>
      </c>
      <c r="F2168">
        <v>0</v>
      </c>
      <c r="G2168">
        <v>0</v>
      </c>
      <c r="H2168">
        <v>0</v>
      </c>
      <c r="I2168" t="s">
        <v>22</v>
      </c>
      <c r="J2168" t="s">
        <v>22</v>
      </c>
    </row>
    <row r="2169" spans="1:10" x14ac:dyDescent="0.25">
      <c r="A2169" t="s">
        <v>1564</v>
      </c>
      <c r="B2169" t="s">
        <v>436</v>
      </c>
      <c r="C2169">
        <v>0</v>
      </c>
      <c r="D2169">
        <v>0</v>
      </c>
      <c r="E2169">
        <v>0</v>
      </c>
      <c r="F2169">
        <v>0</v>
      </c>
      <c r="G2169">
        <v>0</v>
      </c>
      <c r="H2169">
        <v>0</v>
      </c>
      <c r="I2169" t="s">
        <v>22</v>
      </c>
      <c r="J2169" t="s">
        <v>22</v>
      </c>
    </row>
    <row r="2170" spans="1:10" x14ac:dyDescent="0.25">
      <c r="A2170" t="s">
        <v>1565</v>
      </c>
      <c r="B2170" t="s">
        <v>607</v>
      </c>
      <c r="C2170">
        <v>0</v>
      </c>
      <c r="D2170">
        <v>0</v>
      </c>
      <c r="E2170">
        <v>0</v>
      </c>
      <c r="F2170">
        <v>0</v>
      </c>
      <c r="G2170">
        <v>0</v>
      </c>
      <c r="H2170">
        <v>0</v>
      </c>
      <c r="I2170" t="s">
        <v>22</v>
      </c>
      <c r="J2170" t="s">
        <v>22</v>
      </c>
    </row>
    <row r="2171" spans="1:10" x14ac:dyDescent="0.25">
      <c r="C2171" t="s">
        <v>108</v>
      </c>
      <c r="D2171" t="s">
        <v>108</v>
      </c>
      <c r="E2171" t="s">
        <v>108</v>
      </c>
      <c r="F2171" t="s">
        <v>108</v>
      </c>
      <c r="G2171" t="s">
        <v>108</v>
      </c>
    </row>
    <row r="2172" spans="1:10" x14ac:dyDescent="0.25">
      <c r="H2172" t="s">
        <v>22</v>
      </c>
      <c r="I2172" t="s">
        <v>22</v>
      </c>
      <c r="J2172" t="s">
        <v>22</v>
      </c>
    </row>
    <row r="2173" spans="1:10" x14ac:dyDescent="0.25">
      <c r="A2173" t="s">
        <v>109</v>
      </c>
    </row>
    <row r="2174" spans="1:10" x14ac:dyDescent="0.25">
      <c r="B2174" t="s">
        <v>441</v>
      </c>
      <c r="C2174">
        <v>0</v>
      </c>
      <c r="D2174" s="2">
        <v>254518</v>
      </c>
      <c r="E2174" s="2">
        <v>225543</v>
      </c>
      <c r="F2174" s="2">
        <v>236055</v>
      </c>
      <c r="G2174" s="2">
        <v>162588</v>
      </c>
      <c r="H2174">
        <v>0</v>
      </c>
    </row>
    <row r="2176" spans="1:10" x14ac:dyDescent="0.25">
      <c r="A2176" t="s">
        <v>442</v>
      </c>
      <c r="B2176" t="s">
        <v>443</v>
      </c>
    </row>
    <row r="2177" spans="1:10" x14ac:dyDescent="0.25">
      <c r="A2177" t="s">
        <v>18</v>
      </c>
      <c r="B2177" t="s">
        <v>21</v>
      </c>
    </row>
    <row r="2178" spans="1:10" x14ac:dyDescent="0.25">
      <c r="A2178" t="s">
        <v>1566</v>
      </c>
      <c r="B2178" t="s">
        <v>445</v>
      </c>
      <c r="C2178">
        <v>0</v>
      </c>
      <c r="D2178">
        <v>0</v>
      </c>
      <c r="E2178">
        <v>86</v>
      </c>
      <c r="F2178">
        <v>94</v>
      </c>
      <c r="G2178" s="2">
        <v>1344</v>
      </c>
      <c r="H2178">
        <v>0</v>
      </c>
      <c r="I2178" t="s">
        <v>22</v>
      </c>
      <c r="J2178" t="s">
        <v>22</v>
      </c>
    </row>
    <row r="2179" spans="1:10" x14ac:dyDescent="0.25">
      <c r="A2179" t="s">
        <v>1567</v>
      </c>
      <c r="B2179" t="s">
        <v>449</v>
      </c>
      <c r="C2179">
        <v>0</v>
      </c>
      <c r="D2179">
        <v>0</v>
      </c>
      <c r="E2179">
        <v>0</v>
      </c>
      <c r="F2179" s="2">
        <v>1500</v>
      </c>
      <c r="G2179">
        <v>0</v>
      </c>
      <c r="H2179">
        <v>0</v>
      </c>
      <c r="I2179" t="s">
        <v>22</v>
      </c>
      <c r="J2179" t="s">
        <v>22</v>
      </c>
    </row>
    <row r="2180" spans="1:10" x14ac:dyDescent="0.25">
      <c r="A2180" t="s">
        <v>1568</v>
      </c>
      <c r="B2180" t="s">
        <v>451</v>
      </c>
      <c r="C2180">
        <v>0</v>
      </c>
      <c r="D2180" s="2">
        <v>2380</v>
      </c>
      <c r="E2180">
        <v>0</v>
      </c>
      <c r="F2180" s="2">
        <v>5000</v>
      </c>
      <c r="G2180">
        <v>7</v>
      </c>
      <c r="H2180">
        <v>0</v>
      </c>
      <c r="I2180" t="s">
        <v>22</v>
      </c>
      <c r="J2180" t="s">
        <v>22</v>
      </c>
    </row>
    <row r="2181" spans="1:10" x14ac:dyDescent="0.25">
      <c r="A2181" t="s">
        <v>1569</v>
      </c>
      <c r="B2181" t="s">
        <v>457</v>
      </c>
      <c r="C2181">
        <v>0</v>
      </c>
      <c r="D2181">
        <v>134</v>
      </c>
      <c r="E2181">
        <v>0</v>
      </c>
      <c r="F2181">
        <v>0</v>
      </c>
      <c r="G2181">
        <v>0</v>
      </c>
      <c r="H2181">
        <v>0</v>
      </c>
      <c r="I2181" t="s">
        <v>22</v>
      </c>
      <c r="J2181" t="s">
        <v>22</v>
      </c>
    </row>
    <row r="2182" spans="1:10" x14ac:dyDescent="0.25">
      <c r="A2182" t="s">
        <v>1570</v>
      </c>
      <c r="B2182" t="s">
        <v>465</v>
      </c>
      <c r="C2182">
        <v>0</v>
      </c>
      <c r="D2182" s="2">
        <v>9454</v>
      </c>
      <c r="E2182" s="2">
        <v>9255</v>
      </c>
      <c r="F2182" s="2">
        <v>16006</v>
      </c>
      <c r="G2182" s="2">
        <v>6394</v>
      </c>
      <c r="H2182">
        <v>0</v>
      </c>
      <c r="I2182" t="s">
        <v>22</v>
      </c>
      <c r="J2182" t="s">
        <v>22</v>
      </c>
    </row>
    <row r="2183" spans="1:10" x14ac:dyDescent="0.25">
      <c r="A2183" t="s">
        <v>1571</v>
      </c>
      <c r="B2183" t="s">
        <v>471</v>
      </c>
      <c r="C2183">
        <v>0</v>
      </c>
      <c r="D2183" s="2">
        <v>25168</v>
      </c>
      <c r="E2183" s="2">
        <v>29219</v>
      </c>
      <c r="F2183" s="2">
        <v>49502</v>
      </c>
      <c r="G2183" s="2">
        <v>19488</v>
      </c>
      <c r="H2183">
        <v>0</v>
      </c>
      <c r="I2183" t="s">
        <v>22</v>
      </c>
      <c r="J2183" t="s">
        <v>22</v>
      </c>
    </row>
    <row r="2184" spans="1:10" x14ac:dyDescent="0.25">
      <c r="A2184" t="s">
        <v>1572</v>
      </c>
      <c r="B2184" t="s">
        <v>473</v>
      </c>
      <c r="C2184">
        <v>0</v>
      </c>
      <c r="D2184" s="2">
        <v>39637</v>
      </c>
      <c r="E2184" s="2">
        <v>29024</v>
      </c>
      <c r="F2184" s="2">
        <v>55681</v>
      </c>
      <c r="G2184" s="2">
        <v>47222</v>
      </c>
      <c r="H2184">
        <v>0</v>
      </c>
      <c r="I2184" t="s">
        <v>22</v>
      </c>
      <c r="J2184" t="s">
        <v>22</v>
      </c>
    </row>
    <row r="2185" spans="1:10" x14ac:dyDescent="0.25">
      <c r="A2185" t="s">
        <v>1573</v>
      </c>
      <c r="B2185" t="s">
        <v>1241</v>
      </c>
      <c r="C2185">
        <v>0</v>
      </c>
      <c r="D2185">
        <v>38</v>
      </c>
      <c r="E2185">
        <v>0</v>
      </c>
      <c r="F2185">
        <v>0</v>
      </c>
      <c r="G2185">
        <v>0</v>
      </c>
      <c r="H2185">
        <v>0</v>
      </c>
      <c r="I2185" t="s">
        <v>22</v>
      </c>
      <c r="J2185" t="s">
        <v>22</v>
      </c>
    </row>
    <row r="2186" spans="1:10" x14ac:dyDescent="0.25">
      <c r="A2186" t="s">
        <v>1574</v>
      </c>
      <c r="B2186" t="s">
        <v>475</v>
      </c>
      <c r="C2186">
        <v>0</v>
      </c>
      <c r="D2186">
        <v>0</v>
      </c>
      <c r="E2186">
        <v>587</v>
      </c>
      <c r="F2186">
        <v>500</v>
      </c>
      <c r="G2186">
        <v>0</v>
      </c>
      <c r="H2186">
        <v>0</v>
      </c>
      <c r="I2186" t="s">
        <v>22</v>
      </c>
      <c r="J2186" t="s">
        <v>22</v>
      </c>
    </row>
    <row r="2187" spans="1:10" x14ac:dyDescent="0.25">
      <c r="A2187" t="s">
        <v>1575</v>
      </c>
      <c r="B2187" t="s">
        <v>762</v>
      </c>
      <c r="C2187">
        <v>0</v>
      </c>
      <c r="D2187" s="2">
        <v>70728</v>
      </c>
      <c r="E2187" s="2">
        <v>74294</v>
      </c>
      <c r="F2187" s="2">
        <v>245400</v>
      </c>
      <c r="G2187" s="2">
        <v>27513</v>
      </c>
      <c r="H2187">
        <v>0</v>
      </c>
      <c r="I2187" t="s">
        <v>22</v>
      </c>
      <c r="J2187" t="s">
        <v>22</v>
      </c>
    </row>
    <row r="2188" spans="1:10" x14ac:dyDescent="0.25">
      <c r="C2188" t="s">
        <v>108</v>
      </c>
      <c r="D2188" t="s">
        <v>108</v>
      </c>
      <c r="E2188" t="s">
        <v>108</v>
      </c>
      <c r="F2188" t="s">
        <v>108</v>
      </c>
      <c r="G2188" t="s">
        <v>108</v>
      </c>
    </row>
    <row r="2189" spans="1:10" x14ac:dyDescent="0.25">
      <c r="H2189" t="s">
        <v>22</v>
      </c>
      <c r="I2189" t="s">
        <v>22</v>
      </c>
      <c r="J2189" t="s">
        <v>22</v>
      </c>
    </row>
    <row r="2190" spans="1:10" x14ac:dyDescent="0.25">
      <c r="A2190" t="s">
        <v>109</v>
      </c>
    </row>
    <row r="2191" spans="1:10" x14ac:dyDescent="0.25">
      <c r="B2191" t="s">
        <v>478</v>
      </c>
      <c r="C2191">
        <v>0</v>
      </c>
      <c r="D2191" s="2">
        <v>147540</v>
      </c>
      <c r="E2191" s="2">
        <v>142465</v>
      </c>
      <c r="F2191" s="2">
        <v>373683</v>
      </c>
      <c r="G2191" s="2">
        <v>101968</v>
      </c>
      <c r="H2191">
        <v>0</v>
      </c>
    </row>
    <row r="2193" spans="1:10" x14ac:dyDescent="0.25">
      <c r="A2193" t="s">
        <v>489</v>
      </c>
    </row>
    <row r="2194" spans="1:10" x14ac:dyDescent="0.25">
      <c r="A2194" t="s">
        <v>18</v>
      </c>
    </row>
    <row r="2195" spans="1:10" x14ac:dyDescent="0.25">
      <c r="A2195" t="s">
        <v>1576</v>
      </c>
      <c r="B2195" t="s">
        <v>491</v>
      </c>
      <c r="C2195">
        <v>0</v>
      </c>
      <c r="D2195">
        <v>0</v>
      </c>
      <c r="E2195">
        <v>0</v>
      </c>
      <c r="F2195">
        <v>0</v>
      </c>
      <c r="G2195">
        <v>0</v>
      </c>
      <c r="H2195">
        <v>0</v>
      </c>
      <c r="I2195" t="s">
        <v>22</v>
      </c>
      <c r="J2195" t="s">
        <v>22</v>
      </c>
    </row>
    <row r="2196" spans="1:10" x14ac:dyDescent="0.25">
      <c r="A2196" t="s">
        <v>1577</v>
      </c>
      <c r="B2196" t="s">
        <v>493</v>
      </c>
      <c r="C2196">
        <v>0</v>
      </c>
      <c r="D2196">
        <v>0</v>
      </c>
      <c r="E2196">
        <v>13</v>
      </c>
      <c r="F2196">
        <v>0</v>
      </c>
      <c r="G2196">
        <v>0</v>
      </c>
      <c r="H2196">
        <v>0</v>
      </c>
      <c r="I2196" t="s">
        <v>22</v>
      </c>
      <c r="J2196" t="s">
        <v>22</v>
      </c>
    </row>
    <row r="2197" spans="1:10" x14ac:dyDescent="0.25">
      <c r="A2197" t="s">
        <v>1578</v>
      </c>
      <c r="B2197" t="s">
        <v>489</v>
      </c>
      <c r="C2197">
        <v>0</v>
      </c>
      <c r="D2197">
        <v>883</v>
      </c>
      <c r="E2197">
        <v>33</v>
      </c>
      <c r="F2197" s="2">
        <v>1200</v>
      </c>
      <c r="G2197">
        <v>0</v>
      </c>
      <c r="H2197">
        <v>0</v>
      </c>
      <c r="I2197" t="s">
        <v>22</v>
      </c>
      <c r="J2197" t="s">
        <v>22</v>
      </c>
    </row>
    <row r="2198" spans="1:10" x14ac:dyDescent="0.25">
      <c r="A2198" t="s">
        <v>1579</v>
      </c>
      <c r="B2198" t="s">
        <v>498</v>
      </c>
      <c r="C2198">
        <v>0</v>
      </c>
      <c r="D2198">
        <v>0</v>
      </c>
      <c r="E2198">
        <v>0</v>
      </c>
      <c r="F2198">
        <v>0</v>
      </c>
      <c r="G2198">
        <v>0</v>
      </c>
      <c r="H2198">
        <v>0</v>
      </c>
      <c r="I2198" t="s">
        <v>22</v>
      </c>
      <c r="J2198" t="s">
        <v>22</v>
      </c>
    </row>
    <row r="2199" spans="1:10" x14ac:dyDescent="0.25">
      <c r="A2199" t="s">
        <v>1580</v>
      </c>
      <c r="B2199" t="s">
        <v>500</v>
      </c>
      <c r="C2199">
        <v>0</v>
      </c>
      <c r="D2199">
        <v>0</v>
      </c>
      <c r="E2199">
        <v>0</v>
      </c>
      <c r="F2199">
        <v>0</v>
      </c>
      <c r="G2199">
        <v>0</v>
      </c>
      <c r="H2199">
        <v>0</v>
      </c>
      <c r="I2199" t="s">
        <v>22</v>
      </c>
      <c r="J2199" t="s">
        <v>22</v>
      </c>
    </row>
    <row r="2200" spans="1:10" x14ac:dyDescent="0.25">
      <c r="C2200" t="s">
        <v>108</v>
      </c>
      <c r="D2200" t="s">
        <v>108</v>
      </c>
      <c r="E2200" t="s">
        <v>108</v>
      </c>
      <c r="F2200" t="s">
        <v>108</v>
      </c>
      <c r="G2200" t="s">
        <v>108</v>
      </c>
    </row>
    <row r="2201" spans="1:10" x14ac:dyDescent="0.25">
      <c r="H2201" t="s">
        <v>22</v>
      </c>
      <c r="I2201" t="s">
        <v>22</v>
      </c>
      <c r="J2201" t="s">
        <v>22</v>
      </c>
    </row>
    <row r="2202" spans="1:10" x14ac:dyDescent="0.25">
      <c r="A2202" t="s">
        <v>109</v>
      </c>
    </row>
    <row r="2203" spans="1:10" x14ac:dyDescent="0.25">
      <c r="B2203" t="s">
        <v>489</v>
      </c>
      <c r="C2203">
        <v>0</v>
      </c>
      <c r="D2203">
        <v>883</v>
      </c>
      <c r="E2203">
        <v>46</v>
      </c>
      <c r="F2203" s="2">
        <v>1200</v>
      </c>
      <c r="G2203">
        <v>0</v>
      </c>
      <c r="H2203">
        <v>0</v>
      </c>
    </row>
    <row r="2204" spans="1:10" x14ac:dyDescent="0.25">
      <c r="A2204" t="s">
        <v>110</v>
      </c>
    </row>
    <row r="2205" spans="1:10" x14ac:dyDescent="0.25">
      <c r="A2205" s="1">
        <v>43991</v>
      </c>
      <c r="B2205" t="s">
        <v>111</v>
      </c>
      <c r="D2205" t="s">
        <v>112</v>
      </c>
      <c r="E2205" t="s">
        <v>113</v>
      </c>
      <c r="F2205" t="s">
        <v>114</v>
      </c>
      <c r="J2205" t="s">
        <v>1581</v>
      </c>
    </row>
    <row r="2206" spans="1:10" x14ac:dyDescent="0.25">
      <c r="D2206" t="s">
        <v>116</v>
      </c>
      <c r="E2206" t="s">
        <v>117</v>
      </c>
      <c r="F2206" t="s">
        <v>118</v>
      </c>
    </row>
    <row r="2207" spans="1:10" x14ac:dyDescent="0.25">
      <c r="D2207" t="s">
        <v>119</v>
      </c>
      <c r="E2207" t="s">
        <v>120</v>
      </c>
      <c r="F2207" t="s">
        <v>121</v>
      </c>
    </row>
    <row r="2208" spans="1:10" x14ac:dyDescent="0.25">
      <c r="A2208" t="s">
        <v>122</v>
      </c>
      <c r="B2208" t="s">
        <v>123</v>
      </c>
    </row>
    <row r="2209" spans="1:10" x14ac:dyDescent="0.25">
      <c r="A2209" t="s">
        <v>386</v>
      </c>
    </row>
    <row r="2210" spans="1:10" x14ac:dyDescent="0.25">
      <c r="F2210" t="s">
        <v>2</v>
      </c>
      <c r="G2210" t="s">
        <v>3</v>
      </c>
      <c r="H2210" t="s">
        <v>4</v>
      </c>
      <c r="I2210" t="s">
        <v>5</v>
      </c>
      <c r="J2210" t="s">
        <v>6</v>
      </c>
    </row>
    <row r="2211" spans="1:10" x14ac:dyDescent="0.25">
      <c r="C2211" t="s">
        <v>7</v>
      </c>
      <c r="D2211" t="s">
        <v>8</v>
      </c>
      <c r="E2211" t="s">
        <v>9</v>
      </c>
      <c r="F2211" t="s">
        <v>10</v>
      </c>
      <c r="G2211" t="s">
        <v>124</v>
      </c>
      <c r="H2211" t="s">
        <v>12</v>
      </c>
      <c r="I2211" t="s">
        <v>13</v>
      </c>
      <c r="J2211" t="s">
        <v>14</v>
      </c>
    </row>
    <row r="2212" spans="1:10" x14ac:dyDescent="0.25">
      <c r="C2212" t="s">
        <v>15</v>
      </c>
      <c r="D2212" t="s">
        <v>15</v>
      </c>
      <c r="E2212" t="s">
        <v>15</v>
      </c>
      <c r="F2212" t="s">
        <v>16</v>
      </c>
      <c r="G2212" t="s">
        <v>15</v>
      </c>
      <c r="H2212" t="s">
        <v>17</v>
      </c>
      <c r="I2212" t="s">
        <v>16</v>
      </c>
      <c r="J2212" t="s">
        <v>16</v>
      </c>
    </row>
    <row r="2213" spans="1:10" x14ac:dyDescent="0.25">
      <c r="A2213" t="s">
        <v>18</v>
      </c>
      <c r="B2213" t="s">
        <v>19</v>
      </c>
      <c r="C2213" t="s">
        <v>20</v>
      </c>
      <c r="D2213" t="s">
        <v>21</v>
      </c>
      <c r="E2213" t="s">
        <v>22</v>
      </c>
      <c r="F2213" t="s">
        <v>23</v>
      </c>
      <c r="G2213" t="s">
        <v>24</v>
      </c>
      <c r="H2213" t="s">
        <v>20</v>
      </c>
      <c r="I2213" t="s">
        <v>24</v>
      </c>
      <c r="J2213" t="s">
        <v>20</v>
      </c>
    </row>
    <row r="2215" spans="1:10" x14ac:dyDescent="0.25">
      <c r="A2215" t="s">
        <v>501</v>
      </c>
    </row>
    <row r="2216" spans="1:10" x14ac:dyDescent="0.25">
      <c r="A2216" t="s">
        <v>18</v>
      </c>
    </row>
    <row r="2217" spans="1:10" x14ac:dyDescent="0.25">
      <c r="A2217" t="s">
        <v>1582</v>
      </c>
      <c r="B2217" t="s">
        <v>503</v>
      </c>
      <c r="C2217">
        <v>0</v>
      </c>
      <c r="D2217" s="2">
        <v>66499</v>
      </c>
      <c r="E2217" s="2">
        <v>51967</v>
      </c>
      <c r="F2217" s="2">
        <v>25000</v>
      </c>
      <c r="G2217" s="2">
        <v>4154</v>
      </c>
      <c r="H2217">
        <v>0</v>
      </c>
      <c r="I2217" t="s">
        <v>22</v>
      </c>
      <c r="J2217" t="s">
        <v>22</v>
      </c>
    </row>
    <row r="2218" spans="1:10" x14ac:dyDescent="0.25">
      <c r="A2218" t="s">
        <v>1583</v>
      </c>
      <c r="B2218" t="s">
        <v>519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v>0</v>
      </c>
      <c r="I2218" t="s">
        <v>22</v>
      </c>
      <c r="J2218" t="s">
        <v>22</v>
      </c>
    </row>
    <row r="2219" spans="1:10" x14ac:dyDescent="0.25">
      <c r="A2219" t="s">
        <v>1584</v>
      </c>
      <c r="B2219" t="s">
        <v>521</v>
      </c>
      <c r="C2219">
        <v>0</v>
      </c>
      <c r="D2219" s="2">
        <v>54944</v>
      </c>
      <c r="E2219" s="2">
        <v>81897</v>
      </c>
      <c r="F2219" s="2">
        <v>130380</v>
      </c>
      <c r="G2219" s="2">
        <v>125061</v>
      </c>
      <c r="H2219">
        <v>0</v>
      </c>
      <c r="I2219" t="s">
        <v>22</v>
      </c>
      <c r="J2219" t="s">
        <v>22</v>
      </c>
    </row>
    <row r="2220" spans="1:10" x14ac:dyDescent="0.25">
      <c r="C2220" t="s">
        <v>108</v>
      </c>
      <c r="D2220" t="s">
        <v>108</v>
      </c>
      <c r="E2220" t="s">
        <v>108</v>
      </c>
      <c r="F2220" t="s">
        <v>108</v>
      </c>
      <c r="G2220" t="s">
        <v>108</v>
      </c>
    </row>
    <row r="2221" spans="1:10" x14ac:dyDescent="0.25">
      <c r="H2221" t="s">
        <v>22</v>
      </c>
      <c r="I2221" t="s">
        <v>22</v>
      </c>
      <c r="J2221" t="s">
        <v>22</v>
      </c>
    </row>
    <row r="2222" spans="1:10" x14ac:dyDescent="0.25">
      <c r="A2222" t="s">
        <v>109</v>
      </c>
    </row>
    <row r="2223" spans="1:10" x14ac:dyDescent="0.25">
      <c r="B2223" t="s">
        <v>501</v>
      </c>
      <c r="C2223">
        <v>0</v>
      </c>
      <c r="D2223" s="2">
        <v>121443</v>
      </c>
      <c r="E2223" s="2">
        <v>133864</v>
      </c>
      <c r="F2223" s="2">
        <v>155380</v>
      </c>
      <c r="G2223" s="2">
        <v>129214</v>
      </c>
      <c r="H2223">
        <v>0</v>
      </c>
    </row>
    <row r="2225" spans="1:10" x14ac:dyDescent="0.25">
      <c r="A2225" t="s">
        <v>524</v>
      </c>
      <c r="B2225" t="s">
        <v>525</v>
      </c>
    </row>
    <row r="2226" spans="1:10" x14ac:dyDescent="0.25">
      <c r="A2226" t="s">
        <v>18</v>
      </c>
      <c r="B2226" t="s">
        <v>526</v>
      </c>
    </row>
    <row r="2227" spans="1:10" x14ac:dyDescent="0.25">
      <c r="A2227" t="s">
        <v>1585</v>
      </c>
      <c r="B2227" t="s">
        <v>1282</v>
      </c>
      <c r="C2227">
        <v>0</v>
      </c>
      <c r="D2227" s="2">
        <v>18078</v>
      </c>
      <c r="E2227">
        <v>0</v>
      </c>
      <c r="F2227">
        <v>0</v>
      </c>
      <c r="G2227">
        <v>0</v>
      </c>
      <c r="H2227">
        <v>0</v>
      </c>
      <c r="I2227" t="s">
        <v>22</v>
      </c>
      <c r="J2227" t="s">
        <v>22</v>
      </c>
    </row>
    <row r="2228" spans="1:10" x14ac:dyDescent="0.25">
      <c r="A2228" t="s">
        <v>1586</v>
      </c>
      <c r="B2228" t="s">
        <v>534</v>
      </c>
      <c r="C2228">
        <v>0</v>
      </c>
      <c r="D2228">
        <v>0</v>
      </c>
      <c r="E2228">
        <v>0</v>
      </c>
      <c r="F2228">
        <v>0</v>
      </c>
      <c r="G2228">
        <v>0</v>
      </c>
      <c r="H2228">
        <v>0</v>
      </c>
      <c r="I2228" t="s">
        <v>22</v>
      </c>
      <c r="J2228" t="s">
        <v>22</v>
      </c>
    </row>
    <row r="2229" spans="1:10" x14ac:dyDescent="0.25">
      <c r="A2229" t="s">
        <v>1587</v>
      </c>
      <c r="B2229" t="s">
        <v>728</v>
      </c>
      <c r="C2229">
        <v>0</v>
      </c>
      <c r="D2229">
        <v>0</v>
      </c>
      <c r="E2229">
        <v>0</v>
      </c>
      <c r="F2229">
        <v>0</v>
      </c>
      <c r="G2229">
        <v>0</v>
      </c>
      <c r="H2229">
        <v>0</v>
      </c>
      <c r="I2229" t="s">
        <v>22</v>
      </c>
      <c r="J2229" t="s">
        <v>22</v>
      </c>
    </row>
    <row r="2230" spans="1:10" x14ac:dyDescent="0.25">
      <c r="C2230" t="s">
        <v>108</v>
      </c>
      <c r="D2230" t="s">
        <v>108</v>
      </c>
      <c r="E2230" t="s">
        <v>108</v>
      </c>
      <c r="F2230" t="s">
        <v>108</v>
      </c>
      <c r="G2230" t="s">
        <v>108</v>
      </c>
    </row>
    <row r="2231" spans="1:10" x14ac:dyDescent="0.25">
      <c r="H2231" t="s">
        <v>22</v>
      </c>
      <c r="I2231" t="s">
        <v>22</v>
      </c>
      <c r="J2231" t="s">
        <v>22</v>
      </c>
    </row>
    <row r="2232" spans="1:10" x14ac:dyDescent="0.25">
      <c r="A2232" t="s">
        <v>109</v>
      </c>
    </row>
    <row r="2233" spans="1:10" x14ac:dyDescent="0.25">
      <c r="B2233" t="s">
        <v>530</v>
      </c>
      <c r="C2233">
        <v>0</v>
      </c>
      <c r="D2233" s="2">
        <v>18078</v>
      </c>
      <c r="E2233">
        <v>0</v>
      </c>
      <c r="F2233">
        <v>0</v>
      </c>
      <c r="G2233">
        <v>0</v>
      </c>
      <c r="H2233">
        <v>0</v>
      </c>
    </row>
    <row r="2234" spans="1:10" x14ac:dyDescent="0.25">
      <c r="A2234" t="s">
        <v>18</v>
      </c>
      <c r="B2234" t="s">
        <v>19</v>
      </c>
      <c r="C2234" t="s">
        <v>20</v>
      </c>
      <c r="D2234" t="s">
        <v>21</v>
      </c>
      <c r="E2234" t="s">
        <v>26</v>
      </c>
    </row>
    <row r="2235" spans="1:10" x14ac:dyDescent="0.25">
      <c r="E2235" t="s">
        <v>339</v>
      </c>
      <c r="F2235" t="s">
        <v>23</v>
      </c>
      <c r="G2235" t="s">
        <v>24</v>
      </c>
      <c r="H2235" t="s">
        <v>20</v>
      </c>
      <c r="I2235" t="s">
        <v>24</v>
      </c>
      <c r="J2235" t="s">
        <v>20</v>
      </c>
    </row>
    <row r="2236" spans="1:10" x14ac:dyDescent="0.25">
      <c r="A2236" t="s">
        <v>109</v>
      </c>
    </row>
    <row r="2237" spans="1:10" x14ac:dyDescent="0.25">
      <c r="A2237">
        <v>58</v>
      </c>
      <c r="B2237" t="e">
        <f>-GENERAL FUND INFO TECH</f>
        <v>#NAME?</v>
      </c>
      <c r="C2237">
        <v>0</v>
      </c>
      <c r="D2237" s="2">
        <v>542463</v>
      </c>
      <c r="E2237" s="2">
        <v>501919</v>
      </c>
      <c r="F2237" s="2">
        <v>766318</v>
      </c>
      <c r="G2237" s="2">
        <v>393770</v>
      </c>
      <c r="H2237">
        <v>0</v>
      </c>
    </row>
    <row r="2239" spans="1:10" x14ac:dyDescent="0.25">
      <c r="A2239" t="s">
        <v>1588</v>
      </c>
      <c r="B2239" t="s">
        <v>1589</v>
      </c>
    </row>
    <row r="2240" spans="1:10" x14ac:dyDescent="0.25">
      <c r="A2240" t="s">
        <v>389</v>
      </c>
      <c r="B2240" t="s">
        <v>1590</v>
      </c>
    </row>
    <row r="2242" spans="1:10" x14ac:dyDescent="0.25">
      <c r="A2242" t="s">
        <v>1591</v>
      </c>
      <c r="B2242" t="s">
        <v>1592</v>
      </c>
    </row>
    <row r="2243" spans="1:10" x14ac:dyDescent="0.25">
      <c r="A2243" t="s">
        <v>18</v>
      </c>
      <c r="B2243" t="s">
        <v>1593</v>
      </c>
    </row>
    <row r="2244" spans="1:10" x14ac:dyDescent="0.25">
      <c r="A2244" t="s">
        <v>1594</v>
      </c>
      <c r="B2244" t="s">
        <v>1595</v>
      </c>
      <c r="C2244">
        <v>0</v>
      </c>
      <c r="D2244">
        <v>0</v>
      </c>
      <c r="E2244">
        <v>0</v>
      </c>
      <c r="F2244">
        <v>0</v>
      </c>
      <c r="G2244">
        <v>0</v>
      </c>
      <c r="H2244">
        <v>0</v>
      </c>
      <c r="I2244" t="s">
        <v>22</v>
      </c>
      <c r="J2244" t="s">
        <v>22</v>
      </c>
    </row>
    <row r="2245" spans="1:10" x14ac:dyDescent="0.25">
      <c r="A2245" t="s">
        <v>1596</v>
      </c>
      <c r="B2245" t="s">
        <v>1597</v>
      </c>
      <c r="C2245">
        <v>0</v>
      </c>
      <c r="D2245">
        <v>0</v>
      </c>
      <c r="E2245">
        <v>0</v>
      </c>
      <c r="F2245">
        <v>0</v>
      </c>
      <c r="G2245">
        <v>0</v>
      </c>
      <c r="H2245">
        <v>0</v>
      </c>
      <c r="I2245" t="s">
        <v>22</v>
      </c>
      <c r="J2245" t="s">
        <v>22</v>
      </c>
    </row>
    <row r="2246" spans="1:10" x14ac:dyDescent="0.25">
      <c r="C2246" t="s">
        <v>108</v>
      </c>
      <c r="D2246" t="s">
        <v>108</v>
      </c>
      <c r="E2246" t="s">
        <v>108</v>
      </c>
      <c r="F2246" t="s">
        <v>108</v>
      </c>
      <c r="G2246" t="s">
        <v>108</v>
      </c>
    </row>
    <row r="2247" spans="1:10" x14ac:dyDescent="0.25">
      <c r="H2247" t="s">
        <v>22</v>
      </c>
      <c r="I2247" t="s">
        <v>22</v>
      </c>
      <c r="J2247" t="s">
        <v>22</v>
      </c>
    </row>
    <row r="2248" spans="1:10" x14ac:dyDescent="0.25">
      <c r="A2248" t="s">
        <v>109</v>
      </c>
    </row>
    <row r="2249" spans="1:10" x14ac:dyDescent="0.25">
      <c r="B2249" t="s">
        <v>1598</v>
      </c>
      <c r="C2249">
        <v>0</v>
      </c>
      <c r="D2249">
        <v>0</v>
      </c>
      <c r="E2249">
        <v>0</v>
      </c>
      <c r="F2249">
        <v>0</v>
      </c>
      <c r="G2249">
        <v>0</v>
      </c>
      <c r="H2249">
        <v>0</v>
      </c>
    </row>
    <row r="2250" spans="1:10" x14ac:dyDescent="0.25">
      <c r="A2250" t="s">
        <v>18</v>
      </c>
      <c r="B2250" t="s">
        <v>19</v>
      </c>
      <c r="C2250" t="s">
        <v>20</v>
      </c>
      <c r="D2250" t="s">
        <v>21</v>
      </c>
      <c r="E2250" t="s">
        <v>26</v>
      </c>
    </row>
    <row r="2251" spans="1:10" x14ac:dyDescent="0.25">
      <c r="E2251" t="s">
        <v>339</v>
      </c>
      <c r="F2251" t="s">
        <v>23</v>
      </c>
      <c r="G2251" t="s">
        <v>24</v>
      </c>
      <c r="H2251" t="s">
        <v>20</v>
      </c>
      <c r="I2251" t="s">
        <v>24</v>
      </c>
      <c r="J2251" t="s">
        <v>20</v>
      </c>
    </row>
    <row r="2252" spans="1:10" x14ac:dyDescent="0.25">
      <c r="A2252" t="s">
        <v>109</v>
      </c>
    </row>
    <row r="2253" spans="1:10" x14ac:dyDescent="0.25">
      <c r="A2253">
        <v>85</v>
      </c>
      <c r="B2253" t="e">
        <f>-DEBT SERVICE</f>
        <v>#NAME?</v>
      </c>
      <c r="C2253">
        <v>0</v>
      </c>
      <c r="D2253">
        <v>0</v>
      </c>
      <c r="E2253">
        <v>0</v>
      </c>
      <c r="F2253">
        <v>0</v>
      </c>
      <c r="G2253">
        <v>0</v>
      </c>
      <c r="H2253">
        <v>0</v>
      </c>
    </row>
    <row r="2255" spans="1:10" x14ac:dyDescent="0.25">
      <c r="A2255" t="s">
        <v>1599</v>
      </c>
      <c r="B2255" t="s">
        <v>1600</v>
      </c>
    </row>
    <row r="2256" spans="1:10" x14ac:dyDescent="0.25">
      <c r="A2256" t="s">
        <v>389</v>
      </c>
      <c r="B2256" t="s">
        <v>1541</v>
      </c>
    </row>
    <row r="2258" spans="1:10" x14ac:dyDescent="0.25">
      <c r="A2258" t="s">
        <v>524</v>
      </c>
      <c r="B2258" t="s">
        <v>525</v>
      </c>
    </row>
    <row r="2259" spans="1:10" x14ac:dyDescent="0.25">
      <c r="A2259" t="s">
        <v>18</v>
      </c>
      <c r="B2259" t="s">
        <v>526</v>
      </c>
    </row>
    <row r="2260" spans="1:10" x14ac:dyDescent="0.25">
      <c r="A2260" t="s">
        <v>1601</v>
      </c>
      <c r="B2260" t="s">
        <v>1602</v>
      </c>
      <c r="C2260" s="2">
        <v>438694</v>
      </c>
      <c r="D2260" s="2">
        <v>800000</v>
      </c>
      <c r="E2260" s="2">
        <v>800000</v>
      </c>
      <c r="F2260" s="2">
        <v>970519</v>
      </c>
      <c r="G2260">
        <v>0</v>
      </c>
      <c r="H2260">
        <v>0</v>
      </c>
      <c r="I2260" t="s">
        <v>22</v>
      </c>
      <c r="J2260" t="s">
        <v>22</v>
      </c>
    </row>
    <row r="2261" spans="1:10" x14ac:dyDescent="0.25">
      <c r="A2261" t="s">
        <v>1603</v>
      </c>
      <c r="B2261" t="s">
        <v>1604</v>
      </c>
      <c r="C2261">
        <v>0</v>
      </c>
      <c r="D2261">
        <v>0</v>
      </c>
      <c r="E2261">
        <v>0</v>
      </c>
      <c r="F2261">
        <v>0</v>
      </c>
      <c r="G2261">
        <v>0</v>
      </c>
      <c r="H2261">
        <v>0</v>
      </c>
      <c r="I2261" t="s">
        <v>22</v>
      </c>
      <c r="J2261" t="s">
        <v>22</v>
      </c>
    </row>
    <row r="2262" spans="1:10" x14ac:dyDescent="0.25">
      <c r="A2262" t="s">
        <v>1605</v>
      </c>
      <c r="B2262" t="s">
        <v>1606</v>
      </c>
      <c r="C2262" s="2">
        <v>407000</v>
      </c>
      <c r="D2262">
        <v>0</v>
      </c>
      <c r="E2262">
        <v>0</v>
      </c>
      <c r="F2262">
        <v>0</v>
      </c>
      <c r="G2262">
        <v>0</v>
      </c>
      <c r="H2262">
        <v>0</v>
      </c>
      <c r="I2262" t="s">
        <v>22</v>
      </c>
      <c r="J2262" t="s">
        <v>22</v>
      </c>
    </row>
    <row r="2263" spans="1:10" x14ac:dyDescent="0.25">
      <c r="A2263" t="s">
        <v>1607</v>
      </c>
      <c r="B2263" t="s">
        <v>1608</v>
      </c>
      <c r="C2263">
        <v>0</v>
      </c>
      <c r="D2263">
        <v>0</v>
      </c>
      <c r="E2263">
        <v>0</v>
      </c>
      <c r="F2263" s="2">
        <v>92299</v>
      </c>
      <c r="G2263">
        <v>0</v>
      </c>
      <c r="H2263">
        <v>0</v>
      </c>
      <c r="I2263" t="s">
        <v>22</v>
      </c>
      <c r="J2263" t="s">
        <v>22</v>
      </c>
    </row>
    <row r="2264" spans="1:10" x14ac:dyDescent="0.25">
      <c r="C2264" t="s">
        <v>108</v>
      </c>
      <c r="D2264" t="s">
        <v>108</v>
      </c>
      <c r="E2264" t="s">
        <v>108</v>
      </c>
      <c r="F2264" t="s">
        <v>108</v>
      </c>
      <c r="G2264" t="s">
        <v>108</v>
      </c>
    </row>
    <row r="2265" spans="1:10" x14ac:dyDescent="0.25">
      <c r="H2265" t="s">
        <v>22</v>
      </c>
      <c r="I2265" t="s">
        <v>22</v>
      </c>
      <c r="J2265" t="s">
        <v>22</v>
      </c>
    </row>
    <row r="2266" spans="1:10" x14ac:dyDescent="0.25">
      <c r="A2266" t="s">
        <v>109</v>
      </c>
    </row>
    <row r="2267" spans="1:10" x14ac:dyDescent="0.25">
      <c r="B2267" t="s">
        <v>530</v>
      </c>
      <c r="C2267" s="2">
        <v>845694</v>
      </c>
      <c r="D2267" s="2">
        <v>800000</v>
      </c>
      <c r="E2267" s="2">
        <v>800000</v>
      </c>
      <c r="F2267" s="2">
        <v>1062818</v>
      </c>
      <c r="G2267">
        <v>0</v>
      </c>
      <c r="H2267">
        <v>0</v>
      </c>
    </row>
    <row r="2268" spans="1:10" x14ac:dyDescent="0.25">
      <c r="A2268" t="s">
        <v>18</v>
      </c>
      <c r="B2268" t="s">
        <v>19</v>
      </c>
      <c r="C2268" t="s">
        <v>20</v>
      </c>
      <c r="D2268" t="s">
        <v>21</v>
      </c>
      <c r="E2268" t="s">
        <v>26</v>
      </c>
    </row>
    <row r="2269" spans="1:10" x14ac:dyDescent="0.25">
      <c r="E2269" t="s">
        <v>339</v>
      </c>
      <c r="F2269" t="s">
        <v>23</v>
      </c>
      <c r="G2269" t="s">
        <v>24</v>
      </c>
      <c r="H2269" t="s">
        <v>20</v>
      </c>
      <c r="I2269" t="s">
        <v>24</v>
      </c>
      <c r="J2269" t="s">
        <v>20</v>
      </c>
    </row>
    <row r="2270" spans="1:10" x14ac:dyDescent="0.25">
      <c r="A2270" t="s">
        <v>109</v>
      </c>
    </row>
    <row r="2271" spans="1:10" x14ac:dyDescent="0.25">
      <c r="A2271">
        <v>86</v>
      </c>
      <c r="B2271" t="e">
        <f>-GENERAL FUND TRANSFERS</f>
        <v>#NAME?</v>
      </c>
      <c r="C2271" s="2">
        <v>845694</v>
      </c>
      <c r="D2271" s="2">
        <v>800000</v>
      </c>
      <c r="E2271" s="2">
        <v>800000</v>
      </c>
      <c r="F2271" s="2">
        <v>1062818</v>
      </c>
      <c r="G2271">
        <v>0</v>
      </c>
      <c r="H2271">
        <v>0</v>
      </c>
    </row>
    <row r="2272" spans="1:10" x14ac:dyDescent="0.25">
      <c r="A2272" t="s">
        <v>18</v>
      </c>
      <c r="B2272" t="s">
        <v>19</v>
      </c>
      <c r="C2272" t="s">
        <v>20</v>
      </c>
      <c r="D2272" t="s">
        <v>21</v>
      </c>
      <c r="E2272" t="s">
        <v>26</v>
      </c>
    </row>
    <row r="2273" spans="1:10" x14ac:dyDescent="0.25">
      <c r="E2273" t="s">
        <v>339</v>
      </c>
      <c r="F2273" t="s">
        <v>23</v>
      </c>
      <c r="G2273" t="s">
        <v>24</v>
      </c>
      <c r="H2273" t="s">
        <v>20</v>
      </c>
      <c r="I2273" t="s">
        <v>24</v>
      </c>
      <c r="J2273" t="s">
        <v>20</v>
      </c>
    </row>
    <row r="2275" spans="1:10" x14ac:dyDescent="0.25">
      <c r="A2275" t="s">
        <v>1609</v>
      </c>
      <c r="B2275" t="s">
        <v>1610</v>
      </c>
      <c r="C2275" s="2">
        <v>10844921</v>
      </c>
      <c r="D2275" s="2">
        <v>12138108</v>
      </c>
      <c r="E2275" s="2">
        <v>12990325</v>
      </c>
      <c r="F2275" s="2">
        <v>15602191</v>
      </c>
      <c r="G2275" s="2">
        <v>7538872</v>
      </c>
      <c r="H2275" s="2">
        <v>1302709</v>
      </c>
    </row>
    <row r="2277" spans="1:10" x14ac:dyDescent="0.25">
      <c r="A2277" t="s">
        <v>1611</v>
      </c>
      <c r="B2277" t="s">
        <v>1612</v>
      </c>
      <c r="C2277" s="2">
        <v>1829118</v>
      </c>
      <c r="D2277" s="2">
        <v>2402518</v>
      </c>
      <c r="E2277" s="2">
        <v>3545947</v>
      </c>
      <c r="F2277" s="2">
        <v>121241</v>
      </c>
      <c r="G2277" s="2">
        <v>3753520</v>
      </c>
      <c r="H2277" s="2">
        <v>-307658</v>
      </c>
    </row>
    <row r="2280" spans="1:10" x14ac:dyDescent="0.25">
      <c r="A2280" t="s">
        <v>1613</v>
      </c>
      <c r="B2280" t="s">
        <v>1614</v>
      </c>
    </row>
    <row r="2281" spans="1:10" x14ac:dyDescent="0.25">
      <c r="A2281" t="s">
        <v>110</v>
      </c>
    </row>
    <row r="2282" spans="1:10" x14ac:dyDescent="0.25">
      <c r="A2282" s="1">
        <v>43991</v>
      </c>
      <c r="B2282" t="s">
        <v>1615</v>
      </c>
      <c r="D2282" t="s">
        <v>112</v>
      </c>
      <c r="E2282" t="s">
        <v>113</v>
      </c>
      <c r="F2282" t="s">
        <v>114</v>
      </c>
      <c r="J2282" t="s">
        <v>1616</v>
      </c>
    </row>
    <row r="2283" spans="1:10" x14ac:dyDescent="0.25">
      <c r="D2283" t="s">
        <v>116</v>
      </c>
      <c r="E2283" t="s">
        <v>117</v>
      </c>
      <c r="F2283" t="s">
        <v>118</v>
      </c>
    </row>
    <row r="2284" spans="1:10" x14ac:dyDescent="0.25">
      <c r="D2284" t="s">
        <v>119</v>
      </c>
      <c r="E2284" t="s">
        <v>120</v>
      </c>
      <c r="F2284" t="s">
        <v>121</v>
      </c>
    </row>
    <row r="2285" spans="1:10" x14ac:dyDescent="0.25">
      <c r="A2285" t="s">
        <v>1617</v>
      </c>
      <c r="B2285" t="s">
        <v>1618</v>
      </c>
    </row>
    <row r="2286" spans="1:10" x14ac:dyDescent="0.25">
      <c r="A2286" t="s">
        <v>1</v>
      </c>
    </row>
    <row r="2287" spans="1:10" x14ac:dyDescent="0.25">
      <c r="F2287" t="s">
        <v>2</v>
      </c>
      <c r="G2287" t="s">
        <v>3</v>
      </c>
      <c r="H2287" t="s">
        <v>4</v>
      </c>
      <c r="I2287" t="s">
        <v>5</v>
      </c>
      <c r="J2287" t="s">
        <v>6</v>
      </c>
    </row>
    <row r="2288" spans="1:10" x14ac:dyDescent="0.25">
      <c r="C2288" t="s">
        <v>7</v>
      </c>
      <c r="D2288" t="s">
        <v>8</v>
      </c>
      <c r="E2288" t="s">
        <v>9</v>
      </c>
      <c r="F2288" t="s">
        <v>10</v>
      </c>
      <c r="G2288" t="s">
        <v>124</v>
      </c>
      <c r="H2288" t="s">
        <v>12</v>
      </c>
      <c r="I2288" t="s">
        <v>13</v>
      </c>
      <c r="J2288" t="s">
        <v>14</v>
      </c>
    </row>
    <row r="2289" spans="1:10" x14ac:dyDescent="0.25">
      <c r="C2289" t="s">
        <v>15</v>
      </c>
      <c r="D2289" t="s">
        <v>15</v>
      </c>
      <c r="E2289" t="s">
        <v>15</v>
      </c>
      <c r="F2289" t="s">
        <v>16</v>
      </c>
      <c r="G2289" t="s">
        <v>15</v>
      </c>
      <c r="H2289" t="s">
        <v>17</v>
      </c>
      <c r="I2289" t="s">
        <v>16</v>
      </c>
      <c r="J2289" t="s">
        <v>16</v>
      </c>
    </row>
    <row r="2290" spans="1:10" x14ac:dyDescent="0.25">
      <c r="A2290" t="s">
        <v>18</v>
      </c>
      <c r="B2290" t="s">
        <v>19</v>
      </c>
      <c r="C2290" t="s">
        <v>20</v>
      </c>
      <c r="D2290" t="s">
        <v>21</v>
      </c>
      <c r="E2290" t="s">
        <v>22</v>
      </c>
      <c r="F2290" t="s">
        <v>23</v>
      </c>
      <c r="G2290" t="s">
        <v>24</v>
      </c>
      <c r="H2290" t="s">
        <v>20</v>
      </c>
      <c r="I2290" t="s">
        <v>24</v>
      </c>
      <c r="J2290" t="s">
        <v>20</v>
      </c>
    </row>
    <row r="2292" spans="1:10" x14ac:dyDescent="0.25">
      <c r="A2292" t="s">
        <v>1619</v>
      </c>
    </row>
    <row r="2293" spans="1:10" x14ac:dyDescent="0.25">
      <c r="A2293" t="s">
        <v>18</v>
      </c>
    </row>
    <row r="2294" spans="1:10" x14ac:dyDescent="0.25">
      <c r="A2294" t="s">
        <v>1620</v>
      </c>
      <c r="B2294" t="s">
        <v>1621</v>
      </c>
      <c r="C2294" s="2">
        <v>236652</v>
      </c>
      <c r="D2294" s="2">
        <v>213820</v>
      </c>
      <c r="E2294" s="2">
        <v>190782</v>
      </c>
      <c r="F2294" s="2">
        <v>261012</v>
      </c>
      <c r="G2294" s="2">
        <v>121662</v>
      </c>
      <c r="H2294">
        <v>0</v>
      </c>
      <c r="I2294" t="s">
        <v>22</v>
      </c>
      <c r="J2294" t="s">
        <v>22</v>
      </c>
    </row>
    <row r="2295" spans="1:10" x14ac:dyDescent="0.25">
      <c r="A2295" t="s">
        <v>1622</v>
      </c>
      <c r="B2295" t="s">
        <v>62</v>
      </c>
      <c r="C2295" s="2">
        <v>6353</v>
      </c>
      <c r="D2295" s="2">
        <v>44268</v>
      </c>
      <c r="E2295" s="2">
        <v>55057</v>
      </c>
      <c r="F2295" s="2">
        <v>40988</v>
      </c>
      <c r="G2295" s="2">
        <v>28184</v>
      </c>
      <c r="H2295">
        <v>0</v>
      </c>
      <c r="I2295" t="s">
        <v>22</v>
      </c>
      <c r="J2295" t="s">
        <v>22</v>
      </c>
    </row>
    <row r="2296" spans="1:10" x14ac:dyDescent="0.25">
      <c r="A2296" t="s">
        <v>151</v>
      </c>
      <c r="B2296" t="s">
        <v>77</v>
      </c>
      <c r="C2296">
        <v>0</v>
      </c>
      <c r="D2296">
        <v>0</v>
      </c>
      <c r="E2296">
        <v>0</v>
      </c>
      <c r="F2296">
        <v>0</v>
      </c>
      <c r="G2296">
        <v>0</v>
      </c>
      <c r="H2296">
        <v>0</v>
      </c>
      <c r="I2296" t="s">
        <v>22</v>
      </c>
      <c r="J2296" t="s">
        <v>22</v>
      </c>
    </row>
    <row r="2297" spans="1:10" x14ac:dyDescent="0.25">
      <c r="A2297" t="s">
        <v>1623</v>
      </c>
      <c r="B2297" t="s">
        <v>101</v>
      </c>
      <c r="C2297">
        <v>0</v>
      </c>
      <c r="D2297">
        <v>0</v>
      </c>
      <c r="E2297">
        <v>0</v>
      </c>
      <c r="F2297">
        <v>0</v>
      </c>
      <c r="G2297">
        <v>0</v>
      </c>
      <c r="H2297">
        <v>0</v>
      </c>
      <c r="I2297" t="s">
        <v>22</v>
      </c>
      <c r="J2297" t="s">
        <v>22</v>
      </c>
    </row>
    <row r="2298" spans="1:10" x14ac:dyDescent="0.25">
      <c r="A2298" t="s">
        <v>1624</v>
      </c>
      <c r="B2298" t="s">
        <v>1625</v>
      </c>
      <c r="C2298">
        <v>0</v>
      </c>
      <c r="D2298">
        <v>0</v>
      </c>
      <c r="E2298">
        <v>0</v>
      </c>
      <c r="F2298">
        <v>0</v>
      </c>
      <c r="G2298">
        <v>0</v>
      </c>
      <c r="H2298">
        <v>0</v>
      </c>
      <c r="I2298" t="s">
        <v>22</v>
      </c>
      <c r="J2298" t="s">
        <v>22</v>
      </c>
    </row>
    <row r="2299" spans="1:10" x14ac:dyDescent="0.25">
      <c r="C2299" t="s">
        <v>108</v>
      </c>
      <c r="D2299" t="s">
        <v>108</v>
      </c>
      <c r="E2299" t="s">
        <v>108</v>
      </c>
      <c r="F2299" t="s">
        <v>108</v>
      </c>
      <c r="G2299" t="s">
        <v>108</v>
      </c>
    </row>
    <row r="2300" spans="1:10" x14ac:dyDescent="0.25">
      <c r="H2300" t="s">
        <v>22</v>
      </c>
      <c r="I2300" t="s">
        <v>22</v>
      </c>
      <c r="J2300" t="s">
        <v>22</v>
      </c>
    </row>
    <row r="2301" spans="1:10" x14ac:dyDescent="0.25">
      <c r="A2301" t="s">
        <v>109</v>
      </c>
    </row>
    <row r="2302" spans="1:10" x14ac:dyDescent="0.25">
      <c r="B2302" t="s">
        <v>1619</v>
      </c>
      <c r="C2302" s="2">
        <v>243004</v>
      </c>
      <c r="D2302" s="2">
        <v>258088</v>
      </c>
      <c r="E2302" s="2">
        <v>245839</v>
      </c>
      <c r="F2302" s="2">
        <v>302001</v>
      </c>
      <c r="G2302" s="2">
        <v>149845</v>
      </c>
      <c r="H2302">
        <v>0</v>
      </c>
    </row>
    <row r="2303" spans="1:10" x14ac:dyDescent="0.25">
      <c r="A2303" t="s">
        <v>18</v>
      </c>
      <c r="B2303" t="s">
        <v>19</v>
      </c>
      <c r="C2303" t="s">
        <v>20</v>
      </c>
      <c r="D2303" t="s">
        <v>21</v>
      </c>
      <c r="E2303" t="s">
        <v>26</v>
      </c>
    </row>
    <row r="2304" spans="1:10" x14ac:dyDescent="0.25">
      <c r="E2304" t="s">
        <v>339</v>
      </c>
      <c r="F2304" t="s">
        <v>23</v>
      </c>
      <c r="G2304" t="s">
        <v>24</v>
      </c>
      <c r="H2304" t="s">
        <v>20</v>
      </c>
      <c r="I2304" t="s">
        <v>24</v>
      </c>
      <c r="J2304" t="s">
        <v>20</v>
      </c>
    </row>
    <row r="2306" spans="1:10" x14ac:dyDescent="0.25">
      <c r="A2306" t="s">
        <v>383</v>
      </c>
      <c r="B2306" t="s">
        <v>384</v>
      </c>
      <c r="C2306" s="2">
        <v>243004</v>
      </c>
      <c r="D2306" s="2">
        <v>258088</v>
      </c>
      <c r="E2306" s="2">
        <v>245839</v>
      </c>
      <c r="F2306" s="2">
        <v>302001</v>
      </c>
      <c r="G2306" s="2">
        <v>149845</v>
      </c>
      <c r="H2306">
        <v>0</v>
      </c>
    </row>
    <row r="2307" spans="1:10" x14ac:dyDescent="0.25">
      <c r="A2307" t="s">
        <v>110</v>
      </c>
    </row>
    <row r="2308" spans="1:10" x14ac:dyDescent="0.25">
      <c r="A2308" s="1">
        <v>43991</v>
      </c>
      <c r="B2308" t="s">
        <v>1615</v>
      </c>
      <c r="D2308" t="s">
        <v>112</v>
      </c>
      <c r="E2308" t="s">
        <v>113</v>
      </c>
      <c r="F2308" t="s">
        <v>114</v>
      </c>
      <c r="J2308" t="s">
        <v>115</v>
      </c>
    </row>
    <row r="2309" spans="1:10" x14ac:dyDescent="0.25">
      <c r="D2309" t="s">
        <v>116</v>
      </c>
      <c r="E2309" t="s">
        <v>117</v>
      </c>
      <c r="F2309" t="s">
        <v>118</v>
      </c>
    </row>
    <row r="2310" spans="1:10" x14ac:dyDescent="0.25">
      <c r="D2310" t="s">
        <v>119</v>
      </c>
      <c r="E2310" t="s">
        <v>120</v>
      </c>
      <c r="F2310" t="s">
        <v>121</v>
      </c>
    </row>
    <row r="2311" spans="1:10" x14ac:dyDescent="0.25">
      <c r="A2311" t="s">
        <v>1617</v>
      </c>
      <c r="B2311" t="s">
        <v>1618</v>
      </c>
    </row>
    <row r="2312" spans="1:10" x14ac:dyDescent="0.25">
      <c r="A2312" t="s">
        <v>386</v>
      </c>
    </row>
    <row r="2313" spans="1:10" x14ac:dyDescent="0.25">
      <c r="F2313" t="s">
        <v>2</v>
      </c>
      <c r="G2313" t="s">
        <v>3</v>
      </c>
      <c r="H2313" t="s">
        <v>4</v>
      </c>
      <c r="I2313" t="s">
        <v>5</v>
      </c>
      <c r="J2313" t="s">
        <v>6</v>
      </c>
    </row>
    <row r="2314" spans="1:10" x14ac:dyDescent="0.25">
      <c r="C2314" t="s">
        <v>7</v>
      </c>
      <c r="D2314" t="s">
        <v>8</v>
      </c>
      <c r="E2314" t="s">
        <v>9</v>
      </c>
      <c r="F2314" t="s">
        <v>10</v>
      </c>
      <c r="G2314" t="s">
        <v>124</v>
      </c>
      <c r="H2314" t="s">
        <v>12</v>
      </c>
      <c r="I2314" t="s">
        <v>13</v>
      </c>
      <c r="J2314" t="s">
        <v>14</v>
      </c>
    </row>
    <row r="2315" spans="1:10" x14ac:dyDescent="0.25">
      <c r="C2315" t="s">
        <v>15</v>
      </c>
      <c r="D2315" t="s">
        <v>15</v>
      </c>
      <c r="E2315" t="s">
        <v>15</v>
      </c>
      <c r="F2315" t="s">
        <v>16</v>
      </c>
      <c r="G2315" t="s">
        <v>15</v>
      </c>
      <c r="H2315" t="s">
        <v>17</v>
      </c>
      <c r="I2315" t="s">
        <v>16</v>
      </c>
      <c r="J2315" t="s">
        <v>16</v>
      </c>
    </row>
    <row r="2316" spans="1:10" x14ac:dyDescent="0.25">
      <c r="A2316" t="s">
        <v>18</v>
      </c>
      <c r="B2316" t="s">
        <v>19</v>
      </c>
      <c r="C2316" t="s">
        <v>20</v>
      </c>
      <c r="D2316" t="s">
        <v>21</v>
      </c>
      <c r="E2316" t="s">
        <v>22</v>
      </c>
      <c r="F2316" t="s">
        <v>23</v>
      </c>
      <c r="G2316" t="s">
        <v>24</v>
      </c>
      <c r="H2316" t="s">
        <v>20</v>
      </c>
      <c r="I2316" t="s">
        <v>24</v>
      </c>
      <c r="J2316" t="s">
        <v>20</v>
      </c>
    </row>
    <row r="2319" spans="1:10" x14ac:dyDescent="0.25">
      <c r="A2319" t="s">
        <v>1619</v>
      </c>
    </row>
    <row r="2320" spans="1:10" x14ac:dyDescent="0.25">
      <c r="A2320" t="s">
        <v>389</v>
      </c>
    </row>
    <row r="2322" spans="1:10" x14ac:dyDescent="0.25">
      <c r="A2322" t="s">
        <v>489</v>
      </c>
    </row>
    <row r="2323" spans="1:10" x14ac:dyDescent="0.25">
      <c r="A2323" t="s">
        <v>18</v>
      </c>
    </row>
    <row r="2324" spans="1:10" x14ac:dyDescent="0.25">
      <c r="A2324" t="s">
        <v>1626</v>
      </c>
      <c r="B2324" t="s">
        <v>491</v>
      </c>
      <c r="C2324">
        <v>0</v>
      </c>
      <c r="D2324">
        <v>0</v>
      </c>
      <c r="E2324">
        <v>0</v>
      </c>
      <c r="F2324">
        <v>0</v>
      </c>
      <c r="G2324">
        <v>0</v>
      </c>
      <c r="H2324">
        <v>0</v>
      </c>
      <c r="I2324" t="s">
        <v>22</v>
      </c>
      <c r="J2324" t="s">
        <v>22</v>
      </c>
    </row>
    <row r="2325" spans="1:10" x14ac:dyDescent="0.25">
      <c r="C2325" t="s">
        <v>108</v>
      </c>
      <c r="D2325" t="s">
        <v>108</v>
      </c>
      <c r="E2325" t="s">
        <v>108</v>
      </c>
      <c r="F2325" t="s">
        <v>108</v>
      </c>
      <c r="G2325" t="s">
        <v>108</v>
      </c>
    </row>
    <row r="2326" spans="1:10" x14ac:dyDescent="0.25">
      <c r="H2326" t="s">
        <v>22</v>
      </c>
      <c r="I2326" t="s">
        <v>22</v>
      </c>
      <c r="J2326" t="s">
        <v>22</v>
      </c>
    </row>
    <row r="2327" spans="1:10" x14ac:dyDescent="0.25">
      <c r="A2327" t="s">
        <v>109</v>
      </c>
    </row>
    <row r="2328" spans="1:10" x14ac:dyDescent="0.25">
      <c r="B2328" t="s">
        <v>489</v>
      </c>
      <c r="C2328">
        <v>0</v>
      </c>
      <c r="D2328">
        <v>0</v>
      </c>
      <c r="E2328">
        <v>0</v>
      </c>
      <c r="F2328">
        <v>0</v>
      </c>
      <c r="G2328">
        <v>0</v>
      </c>
      <c r="H2328">
        <v>0</v>
      </c>
    </row>
    <row r="2330" spans="1:10" x14ac:dyDescent="0.25">
      <c r="A2330" t="s">
        <v>501</v>
      </c>
    </row>
    <row r="2331" spans="1:10" x14ac:dyDescent="0.25">
      <c r="A2331" t="s">
        <v>18</v>
      </c>
    </row>
    <row r="2332" spans="1:10" x14ac:dyDescent="0.25">
      <c r="A2332" t="s">
        <v>561</v>
      </c>
      <c r="B2332" t="s">
        <v>503</v>
      </c>
      <c r="C2332">
        <v>0</v>
      </c>
      <c r="D2332">
        <v>0</v>
      </c>
      <c r="E2332">
        <v>0</v>
      </c>
      <c r="F2332">
        <v>0</v>
      </c>
      <c r="G2332">
        <v>0</v>
      </c>
      <c r="H2332">
        <v>0</v>
      </c>
      <c r="I2332" t="s">
        <v>22</v>
      </c>
      <c r="J2332" t="s">
        <v>22</v>
      </c>
    </row>
    <row r="2333" spans="1:10" x14ac:dyDescent="0.25">
      <c r="C2333" t="s">
        <v>108</v>
      </c>
      <c r="D2333" t="s">
        <v>108</v>
      </c>
      <c r="E2333" t="s">
        <v>108</v>
      </c>
      <c r="F2333" t="s">
        <v>108</v>
      </c>
      <c r="G2333" t="s">
        <v>108</v>
      </c>
    </row>
    <row r="2334" spans="1:10" x14ac:dyDescent="0.25">
      <c r="H2334" t="s">
        <v>22</v>
      </c>
      <c r="I2334" t="s">
        <v>22</v>
      </c>
      <c r="J2334" t="s">
        <v>22</v>
      </c>
    </row>
    <row r="2335" spans="1:10" x14ac:dyDescent="0.25">
      <c r="A2335" t="s">
        <v>109</v>
      </c>
    </row>
    <row r="2336" spans="1:10" x14ac:dyDescent="0.25">
      <c r="B2336" t="s">
        <v>501</v>
      </c>
      <c r="C2336">
        <v>0</v>
      </c>
      <c r="D2336">
        <v>0</v>
      </c>
      <c r="E2336">
        <v>0</v>
      </c>
      <c r="F2336">
        <v>0</v>
      </c>
      <c r="G2336">
        <v>0</v>
      </c>
      <c r="H2336">
        <v>0</v>
      </c>
    </row>
    <row r="2338" spans="1:10" x14ac:dyDescent="0.25">
      <c r="A2338" t="s">
        <v>1627</v>
      </c>
      <c r="B2338" t="s">
        <v>1628</v>
      </c>
    </row>
    <row r="2339" spans="1:10" x14ac:dyDescent="0.25">
      <c r="A2339" t="s">
        <v>18</v>
      </c>
      <c r="B2339" t="s">
        <v>108</v>
      </c>
    </row>
    <row r="2340" spans="1:10" x14ac:dyDescent="0.25">
      <c r="A2340" t="s">
        <v>1629</v>
      </c>
      <c r="B2340" t="s">
        <v>1630</v>
      </c>
      <c r="C2340" s="2">
        <v>48000</v>
      </c>
      <c r="D2340" s="2">
        <v>48000</v>
      </c>
      <c r="E2340" s="2">
        <v>36000</v>
      </c>
      <c r="F2340" s="2">
        <v>48000</v>
      </c>
      <c r="G2340" s="2">
        <v>24000</v>
      </c>
      <c r="H2340">
        <v>0</v>
      </c>
      <c r="I2340" t="s">
        <v>22</v>
      </c>
      <c r="J2340" t="s">
        <v>22</v>
      </c>
    </row>
    <row r="2341" spans="1:10" x14ac:dyDescent="0.25">
      <c r="A2341" t="s">
        <v>1631</v>
      </c>
      <c r="B2341" t="s">
        <v>1632</v>
      </c>
      <c r="C2341" s="2">
        <v>35593</v>
      </c>
      <c r="D2341" s="2">
        <v>91999</v>
      </c>
      <c r="E2341" s="2">
        <v>164971</v>
      </c>
      <c r="F2341" s="2">
        <v>105550</v>
      </c>
      <c r="G2341" s="2">
        <v>47347</v>
      </c>
      <c r="H2341">
        <v>0</v>
      </c>
      <c r="I2341" t="s">
        <v>22</v>
      </c>
      <c r="J2341" t="s">
        <v>22</v>
      </c>
    </row>
    <row r="2342" spans="1:10" x14ac:dyDescent="0.25">
      <c r="C2342" t="s">
        <v>108</v>
      </c>
      <c r="D2342" t="s">
        <v>108</v>
      </c>
      <c r="E2342" t="s">
        <v>108</v>
      </c>
      <c r="F2342" t="s">
        <v>108</v>
      </c>
      <c r="G2342" t="s">
        <v>108</v>
      </c>
    </row>
    <row r="2343" spans="1:10" x14ac:dyDescent="0.25">
      <c r="H2343" t="s">
        <v>22</v>
      </c>
      <c r="I2343" t="s">
        <v>22</v>
      </c>
      <c r="J2343" t="s">
        <v>22</v>
      </c>
    </row>
    <row r="2344" spans="1:10" x14ac:dyDescent="0.25">
      <c r="A2344" t="s">
        <v>109</v>
      </c>
    </row>
    <row r="2345" spans="1:10" x14ac:dyDescent="0.25">
      <c r="B2345" t="s">
        <v>1633</v>
      </c>
      <c r="C2345" s="2">
        <v>83593</v>
      </c>
      <c r="D2345" s="2">
        <v>139999</v>
      </c>
      <c r="E2345" s="2">
        <v>200971</v>
      </c>
      <c r="F2345" s="2">
        <v>153550</v>
      </c>
      <c r="G2345" s="2">
        <v>71347</v>
      </c>
      <c r="H2345">
        <v>0</v>
      </c>
    </row>
    <row r="2347" spans="1:10" x14ac:dyDescent="0.25">
      <c r="A2347" t="s">
        <v>524</v>
      </c>
      <c r="B2347" t="s">
        <v>525</v>
      </c>
    </row>
    <row r="2348" spans="1:10" x14ac:dyDescent="0.25">
      <c r="A2348" t="s">
        <v>18</v>
      </c>
      <c r="B2348" t="s">
        <v>526</v>
      </c>
    </row>
    <row r="2349" spans="1:10" x14ac:dyDescent="0.25">
      <c r="A2349" t="s">
        <v>565</v>
      </c>
      <c r="B2349" t="s">
        <v>1634</v>
      </c>
      <c r="C2349">
        <v>0</v>
      </c>
      <c r="D2349">
        <v>0</v>
      </c>
      <c r="E2349">
        <v>0</v>
      </c>
      <c r="F2349">
        <v>0</v>
      </c>
      <c r="G2349">
        <v>0</v>
      </c>
      <c r="H2349">
        <v>0</v>
      </c>
      <c r="I2349" t="s">
        <v>22</v>
      </c>
      <c r="J2349" t="s">
        <v>22</v>
      </c>
    </row>
    <row r="2350" spans="1:10" x14ac:dyDescent="0.25">
      <c r="C2350" t="s">
        <v>108</v>
      </c>
      <c r="D2350" t="s">
        <v>108</v>
      </c>
      <c r="E2350" t="s">
        <v>108</v>
      </c>
      <c r="F2350" t="s">
        <v>108</v>
      </c>
      <c r="G2350" t="s">
        <v>108</v>
      </c>
    </row>
    <row r="2351" spans="1:10" x14ac:dyDescent="0.25">
      <c r="H2351" t="s">
        <v>22</v>
      </c>
      <c r="I2351" t="s">
        <v>22</v>
      </c>
      <c r="J2351" t="s">
        <v>22</v>
      </c>
    </row>
    <row r="2352" spans="1:10" x14ac:dyDescent="0.25">
      <c r="A2352" t="s">
        <v>109</v>
      </c>
    </row>
    <row r="2353" spans="1:10" x14ac:dyDescent="0.25">
      <c r="B2353" t="s">
        <v>530</v>
      </c>
      <c r="C2353">
        <v>0</v>
      </c>
      <c r="D2353">
        <v>0</v>
      </c>
      <c r="E2353">
        <v>0</v>
      </c>
      <c r="F2353">
        <v>0</v>
      </c>
      <c r="G2353">
        <v>0</v>
      </c>
      <c r="H2353">
        <v>0</v>
      </c>
    </row>
    <row r="2354" spans="1:10" x14ac:dyDescent="0.25">
      <c r="A2354" t="s">
        <v>18</v>
      </c>
      <c r="B2354" t="s">
        <v>19</v>
      </c>
      <c r="C2354" t="s">
        <v>20</v>
      </c>
      <c r="D2354" t="s">
        <v>21</v>
      </c>
      <c r="E2354" t="s">
        <v>26</v>
      </c>
    </row>
    <row r="2355" spans="1:10" x14ac:dyDescent="0.25">
      <c r="E2355" t="s">
        <v>339</v>
      </c>
      <c r="F2355" t="s">
        <v>23</v>
      </c>
      <c r="G2355" t="s">
        <v>24</v>
      </c>
      <c r="H2355" t="s">
        <v>20</v>
      </c>
      <c r="I2355" t="s">
        <v>24</v>
      </c>
      <c r="J2355" t="s">
        <v>20</v>
      </c>
    </row>
    <row r="2356" spans="1:10" x14ac:dyDescent="0.25">
      <c r="A2356" t="s">
        <v>109</v>
      </c>
    </row>
    <row r="2357" spans="1:10" x14ac:dyDescent="0.25">
      <c r="A2357">
        <v>11</v>
      </c>
      <c r="B2357" t="e">
        <f>-HOTEL</f>
        <v>#NAME?</v>
      </c>
      <c r="C2357" s="2">
        <v>83593</v>
      </c>
      <c r="D2357" s="2">
        <v>139999</v>
      </c>
      <c r="E2357" s="2">
        <v>200971</v>
      </c>
      <c r="F2357" s="2">
        <v>153550</v>
      </c>
      <c r="G2357" s="2">
        <v>71347</v>
      </c>
      <c r="H2357">
        <v>0</v>
      </c>
    </row>
    <row r="2358" spans="1:10" x14ac:dyDescent="0.25">
      <c r="A2358" t="s">
        <v>18</v>
      </c>
      <c r="B2358" t="s">
        <v>19</v>
      </c>
      <c r="C2358" t="s">
        <v>20</v>
      </c>
      <c r="D2358" t="s">
        <v>21</v>
      </c>
      <c r="E2358" t="s">
        <v>26</v>
      </c>
    </row>
    <row r="2359" spans="1:10" x14ac:dyDescent="0.25">
      <c r="E2359" t="s">
        <v>339</v>
      </c>
      <c r="F2359" t="s">
        <v>23</v>
      </c>
      <c r="G2359" t="s">
        <v>24</v>
      </c>
      <c r="H2359" t="s">
        <v>20</v>
      </c>
      <c r="I2359" t="s">
        <v>24</v>
      </c>
      <c r="J2359" t="s">
        <v>20</v>
      </c>
    </row>
    <row r="2361" spans="1:10" x14ac:dyDescent="0.25">
      <c r="A2361" t="s">
        <v>1609</v>
      </c>
      <c r="B2361" t="s">
        <v>1610</v>
      </c>
      <c r="C2361" s="2">
        <v>83593</v>
      </c>
      <c r="D2361" s="2">
        <v>139999</v>
      </c>
      <c r="E2361" s="2">
        <v>200971</v>
      </c>
      <c r="F2361" s="2">
        <v>153550</v>
      </c>
      <c r="G2361" s="2">
        <v>71347</v>
      </c>
      <c r="H2361">
        <v>0</v>
      </c>
    </row>
    <row r="2363" spans="1:10" x14ac:dyDescent="0.25">
      <c r="A2363" t="s">
        <v>1611</v>
      </c>
      <c r="B2363" t="s">
        <v>1612</v>
      </c>
      <c r="C2363" s="2">
        <v>159412</v>
      </c>
      <c r="D2363" s="2">
        <v>118089</v>
      </c>
      <c r="E2363" s="2">
        <v>44868</v>
      </c>
      <c r="F2363" s="2">
        <v>148451</v>
      </c>
      <c r="G2363" s="2">
        <v>78499</v>
      </c>
      <c r="H2363">
        <v>0</v>
      </c>
    </row>
    <row r="2366" spans="1:10" x14ac:dyDescent="0.25">
      <c r="A2366" t="s">
        <v>1613</v>
      </c>
      <c r="B2366" t="s">
        <v>1614</v>
      </c>
    </row>
    <row r="2367" spans="1:10" x14ac:dyDescent="0.25">
      <c r="A2367" t="s">
        <v>110</v>
      </c>
    </row>
    <row r="2368" spans="1:10" x14ac:dyDescent="0.25">
      <c r="A2368" s="1">
        <v>43991</v>
      </c>
      <c r="B2368" t="s">
        <v>1615</v>
      </c>
      <c r="D2368" t="s">
        <v>112</v>
      </c>
      <c r="E2368" t="s">
        <v>113</v>
      </c>
      <c r="F2368" t="s">
        <v>114</v>
      </c>
      <c r="J2368" t="s">
        <v>1616</v>
      </c>
    </row>
    <row r="2369" spans="1:10" x14ac:dyDescent="0.25">
      <c r="D2369" t="s">
        <v>116</v>
      </c>
      <c r="E2369" t="s">
        <v>117</v>
      </c>
      <c r="F2369" t="s">
        <v>118</v>
      </c>
    </row>
    <row r="2370" spans="1:10" x14ac:dyDescent="0.25">
      <c r="D2370" t="s">
        <v>119</v>
      </c>
      <c r="E2370" t="s">
        <v>120</v>
      </c>
      <c r="F2370" t="s">
        <v>121</v>
      </c>
    </row>
    <row r="2371" spans="1:10" x14ac:dyDescent="0.25">
      <c r="A2371" t="s">
        <v>1635</v>
      </c>
      <c r="B2371" t="s">
        <v>1636</v>
      </c>
    </row>
    <row r="2372" spans="1:10" x14ac:dyDescent="0.25">
      <c r="A2372" t="s">
        <v>1</v>
      </c>
    </row>
    <row r="2373" spans="1:10" x14ac:dyDescent="0.25">
      <c r="F2373" t="s">
        <v>2</v>
      </c>
      <c r="G2373" t="s">
        <v>3</v>
      </c>
      <c r="H2373" t="s">
        <v>4</v>
      </c>
      <c r="I2373" t="s">
        <v>5</v>
      </c>
      <c r="J2373" t="s">
        <v>6</v>
      </c>
    </row>
    <row r="2374" spans="1:10" x14ac:dyDescent="0.25">
      <c r="C2374" t="s">
        <v>7</v>
      </c>
      <c r="D2374" t="s">
        <v>8</v>
      </c>
      <c r="E2374" t="s">
        <v>9</v>
      </c>
      <c r="F2374" t="s">
        <v>10</v>
      </c>
      <c r="G2374" t="s">
        <v>124</v>
      </c>
      <c r="H2374" t="s">
        <v>12</v>
      </c>
      <c r="I2374" t="s">
        <v>13</v>
      </c>
      <c r="J2374" t="s">
        <v>14</v>
      </c>
    </row>
    <row r="2375" spans="1:10" x14ac:dyDescent="0.25">
      <c r="C2375" t="s">
        <v>15</v>
      </c>
      <c r="D2375" t="s">
        <v>15</v>
      </c>
      <c r="E2375" t="s">
        <v>15</v>
      </c>
      <c r="F2375" t="s">
        <v>16</v>
      </c>
      <c r="G2375" t="s">
        <v>15</v>
      </c>
      <c r="H2375" t="s">
        <v>17</v>
      </c>
      <c r="I2375" t="s">
        <v>16</v>
      </c>
      <c r="J2375" t="s">
        <v>16</v>
      </c>
    </row>
    <row r="2376" spans="1:10" x14ac:dyDescent="0.25">
      <c r="A2376" t="s">
        <v>18</v>
      </c>
      <c r="B2376" t="s">
        <v>19</v>
      </c>
      <c r="C2376" t="s">
        <v>20</v>
      </c>
      <c r="D2376" t="s">
        <v>21</v>
      </c>
      <c r="E2376" t="s">
        <v>22</v>
      </c>
      <c r="F2376" t="s">
        <v>23</v>
      </c>
      <c r="G2376" t="s">
        <v>24</v>
      </c>
      <c r="H2376" t="s">
        <v>20</v>
      </c>
      <c r="I2376" t="s">
        <v>24</v>
      </c>
      <c r="J2376" t="s">
        <v>20</v>
      </c>
    </row>
    <row r="2378" spans="1:10" x14ac:dyDescent="0.25">
      <c r="A2378" t="s">
        <v>352</v>
      </c>
      <c r="B2378" t="s">
        <v>353</v>
      </c>
    </row>
    <row r="2379" spans="1:10" x14ac:dyDescent="0.25">
      <c r="A2379" t="s">
        <v>18</v>
      </c>
      <c r="B2379" t="s">
        <v>20</v>
      </c>
    </row>
    <row r="2380" spans="1:10" x14ac:dyDescent="0.25">
      <c r="A2380" t="s">
        <v>354</v>
      </c>
      <c r="B2380" t="s">
        <v>62</v>
      </c>
      <c r="C2380">
        <v>0</v>
      </c>
      <c r="D2380">
        <v>0</v>
      </c>
      <c r="E2380">
        <v>0</v>
      </c>
      <c r="F2380">
        <v>0</v>
      </c>
      <c r="G2380">
        <v>0</v>
      </c>
      <c r="H2380">
        <v>0</v>
      </c>
      <c r="I2380" t="s">
        <v>22</v>
      </c>
      <c r="J2380" t="s">
        <v>22</v>
      </c>
    </row>
    <row r="2381" spans="1:10" x14ac:dyDescent="0.25">
      <c r="A2381" t="s">
        <v>1637</v>
      </c>
      <c r="B2381" t="s">
        <v>156</v>
      </c>
      <c r="C2381">
        <v>0</v>
      </c>
      <c r="D2381">
        <v>0</v>
      </c>
      <c r="E2381">
        <v>0</v>
      </c>
      <c r="F2381">
        <v>0</v>
      </c>
      <c r="G2381">
        <v>0</v>
      </c>
      <c r="H2381">
        <v>0</v>
      </c>
      <c r="I2381" t="s">
        <v>22</v>
      </c>
      <c r="J2381" t="s">
        <v>22</v>
      </c>
    </row>
    <row r="2382" spans="1:10" x14ac:dyDescent="0.25">
      <c r="A2382" t="s">
        <v>355</v>
      </c>
      <c r="B2382" t="s">
        <v>356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v>0</v>
      </c>
      <c r="I2382" t="s">
        <v>22</v>
      </c>
      <c r="J2382" t="s">
        <v>22</v>
      </c>
    </row>
    <row r="2383" spans="1:10" x14ac:dyDescent="0.25">
      <c r="A2383" t="s">
        <v>357</v>
      </c>
      <c r="B2383" t="s">
        <v>358</v>
      </c>
      <c r="C2383" s="2">
        <v>381602</v>
      </c>
      <c r="D2383" s="2">
        <v>270756</v>
      </c>
      <c r="E2383" s="2">
        <v>294589</v>
      </c>
      <c r="F2383" s="2">
        <v>275082</v>
      </c>
      <c r="G2383" s="2">
        <v>184756</v>
      </c>
      <c r="H2383">
        <v>0</v>
      </c>
      <c r="I2383" t="s">
        <v>22</v>
      </c>
      <c r="J2383" t="s">
        <v>22</v>
      </c>
    </row>
    <row r="2384" spans="1:10" x14ac:dyDescent="0.25">
      <c r="A2384" t="s">
        <v>359</v>
      </c>
      <c r="B2384" t="s">
        <v>360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v>0</v>
      </c>
      <c r="I2384" t="s">
        <v>22</v>
      </c>
      <c r="J2384" t="s">
        <v>22</v>
      </c>
    </row>
    <row r="2385" spans="1:10" x14ac:dyDescent="0.25">
      <c r="A2385" t="s">
        <v>1638</v>
      </c>
      <c r="B2385" t="s">
        <v>1639</v>
      </c>
      <c r="C2385">
        <v>0</v>
      </c>
      <c r="D2385">
        <v>0</v>
      </c>
      <c r="E2385">
        <v>0</v>
      </c>
      <c r="F2385">
        <v>0</v>
      </c>
      <c r="G2385">
        <v>0</v>
      </c>
      <c r="H2385">
        <v>0</v>
      </c>
      <c r="I2385" t="s">
        <v>22</v>
      </c>
      <c r="J2385" t="s">
        <v>22</v>
      </c>
    </row>
    <row r="2386" spans="1:10" x14ac:dyDescent="0.25">
      <c r="A2386" t="s">
        <v>1640</v>
      </c>
      <c r="B2386" t="s">
        <v>1641</v>
      </c>
      <c r="C2386">
        <v>0</v>
      </c>
      <c r="D2386">
        <v>0</v>
      </c>
      <c r="E2386">
        <v>0</v>
      </c>
      <c r="F2386">
        <v>0</v>
      </c>
      <c r="G2386">
        <v>0</v>
      </c>
      <c r="H2386">
        <v>0</v>
      </c>
      <c r="I2386" t="s">
        <v>22</v>
      </c>
      <c r="J2386" t="s">
        <v>22</v>
      </c>
    </row>
    <row r="2387" spans="1:10" x14ac:dyDescent="0.25">
      <c r="A2387" t="s">
        <v>1642</v>
      </c>
      <c r="B2387" t="s">
        <v>1643</v>
      </c>
      <c r="C2387">
        <v>0</v>
      </c>
      <c r="D2387">
        <v>0</v>
      </c>
      <c r="E2387">
        <v>0</v>
      </c>
      <c r="F2387">
        <v>0</v>
      </c>
      <c r="G2387">
        <v>0</v>
      </c>
      <c r="H2387">
        <v>0</v>
      </c>
      <c r="I2387" t="s">
        <v>22</v>
      </c>
      <c r="J2387" t="s">
        <v>22</v>
      </c>
    </row>
    <row r="2388" spans="1:10" x14ac:dyDescent="0.25">
      <c r="A2388" t="s">
        <v>1644</v>
      </c>
      <c r="B2388" t="s">
        <v>1645</v>
      </c>
      <c r="C2388" s="2">
        <v>23400</v>
      </c>
      <c r="D2388" s="2">
        <v>23400</v>
      </c>
      <c r="E2388">
        <v>0</v>
      </c>
      <c r="F2388">
        <v>0</v>
      </c>
      <c r="G2388">
        <v>0</v>
      </c>
      <c r="H2388">
        <v>0</v>
      </c>
      <c r="I2388" t="s">
        <v>22</v>
      </c>
      <c r="J2388" t="s">
        <v>22</v>
      </c>
    </row>
    <row r="2389" spans="1:10" x14ac:dyDescent="0.25">
      <c r="A2389" t="s">
        <v>1646</v>
      </c>
      <c r="B2389" t="s">
        <v>1647</v>
      </c>
      <c r="C2389" s="2">
        <v>1039</v>
      </c>
      <c r="D2389">
        <v>410</v>
      </c>
      <c r="E2389">
        <v>180</v>
      </c>
      <c r="F2389">
        <v>200</v>
      </c>
      <c r="G2389" s="2">
        <v>1150</v>
      </c>
      <c r="H2389">
        <v>0</v>
      </c>
      <c r="I2389" t="s">
        <v>22</v>
      </c>
      <c r="J2389" t="s">
        <v>22</v>
      </c>
    </row>
    <row r="2390" spans="1:10" x14ac:dyDescent="0.25">
      <c r="A2390" t="s">
        <v>1648</v>
      </c>
      <c r="B2390" t="s">
        <v>1649</v>
      </c>
      <c r="C2390" s="2">
        <v>5740</v>
      </c>
      <c r="D2390" s="2">
        <v>4760</v>
      </c>
      <c r="E2390" s="2">
        <v>2555</v>
      </c>
      <c r="F2390" s="2">
        <v>2773</v>
      </c>
      <c r="G2390" s="2">
        <v>2280</v>
      </c>
      <c r="H2390">
        <v>0</v>
      </c>
      <c r="I2390" t="s">
        <v>22</v>
      </c>
      <c r="J2390" t="s">
        <v>22</v>
      </c>
    </row>
    <row r="2391" spans="1:10" x14ac:dyDescent="0.25">
      <c r="A2391" t="s">
        <v>1650</v>
      </c>
      <c r="B2391" t="s">
        <v>1651</v>
      </c>
      <c r="C2391">
        <v>0</v>
      </c>
      <c r="D2391">
        <v>30</v>
      </c>
      <c r="E2391">
        <v>0</v>
      </c>
      <c r="F2391">
        <v>0</v>
      </c>
      <c r="G2391">
        <v>0</v>
      </c>
      <c r="H2391">
        <v>0</v>
      </c>
      <c r="I2391" t="s">
        <v>22</v>
      </c>
      <c r="J2391" t="s">
        <v>22</v>
      </c>
    </row>
    <row r="2392" spans="1:10" x14ac:dyDescent="0.25">
      <c r="A2392" t="s">
        <v>361</v>
      </c>
      <c r="B2392" t="s">
        <v>362</v>
      </c>
      <c r="C2392" s="2">
        <v>8342</v>
      </c>
      <c r="D2392" s="2">
        <v>15941</v>
      </c>
      <c r="E2392" s="2">
        <v>14160</v>
      </c>
      <c r="F2392" s="2">
        <v>10000</v>
      </c>
      <c r="G2392" s="2">
        <v>34828</v>
      </c>
      <c r="H2392">
        <v>0</v>
      </c>
      <c r="I2392" t="s">
        <v>22</v>
      </c>
      <c r="J2392" t="s">
        <v>22</v>
      </c>
    </row>
    <row r="2393" spans="1:10" x14ac:dyDescent="0.25">
      <c r="A2393" t="s">
        <v>1652</v>
      </c>
      <c r="B2393" t="s">
        <v>1653</v>
      </c>
      <c r="C2393">
        <v>0</v>
      </c>
      <c r="D2393" s="2">
        <v>43000</v>
      </c>
      <c r="E2393" s="2">
        <v>32000</v>
      </c>
      <c r="F2393">
        <v>0</v>
      </c>
      <c r="G2393">
        <v>0</v>
      </c>
      <c r="H2393">
        <v>0</v>
      </c>
      <c r="I2393" t="s">
        <v>22</v>
      </c>
      <c r="J2393" t="s">
        <v>22</v>
      </c>
    </row>
    <row r="2394" spans="1:10" x14ac:dyDescent="0.25">
      <c r="A2394" t="s">
        <v>363</v>
      </c>
      <c r="B2394" t="s">
        <v>1654</v>
      </c>
      <c r="C2394">
        <v>0</v>
      </c>
      <c r="D2394">
        <v>0</v>
      </c>
      <c r="E2394">
        <v>0</v>
      </c>
      <c r="F2394">
        <v>0</v>
      </c>
      <c r="G2394">
        <v>0</v>
      </c>
      <c r="H2394">
        <v>0</v>
      </c>
      <c r="I2394" t="s">
        <v>22</v>
      </c>
      <c r="J2394" t="s">
        <v>22</v>
      </c>
    </row>
    <row r="2395" spans="1:10" x14ac:dyDescent="0.25">
      <c r="A2395" t="s">
        <v>365</v>
      </c>
      <c r="B2395" t="s">
        <v>366</v>
      </c>
      <c r="C2395">
        <v>0</v>
      </c>
      <c r="D2395">
        <v>0</v>
      </c>
      <c r="E2395">
        <v>0</v>
      </c>
      <c r="F2395">
        <v>0</v>
      </c>
      <c r="G2395">
        <v>0</v>
      </c>
      <c r="H2395">
        <v>0</v>
      </c>
      <c r="I2395" t="s">
        <v>22</v>
      </c>
      <c r="J2395" t="s">
        <v>22</v>
      </c>
    </row>
    <row r="2396" spans="1:10" x14ac:dyDescent="0.25">
      <c r="A2396" t="s">
        <v>367</v>
      </c>
      <c r="B2396" t="s">
        <v>368</v>
      </c>
      <c r="C2396">
        <v>0</v>
      </c>
      <c r="D2396">
        <v>0</v>
      </c>
      <c r="E2396">
        <v>0</v>
      </c>
      <c r="F2396">
        <v>0</v>
      </c>
      <c r="G2396">
        <v>0</v>
      </c>
      <c r="H2396">
        <v>0</v>
      </c>
      <c r="I2396" t="s">
        <v>22</v>
      </c>
      <c r="J2396" t="s">
        <v>22</v>
      </c>
    </row>
    <row r="2397" spans="1:10" x14ac:dyDescent="0.25">
      <c r="A2397" t="s">
        <v>369</v>
      </c>
      <c r="B2397" t="s">
        <v>370</v>
      </c>
      <c r="C2397">
        <v>0</v>
      </c>
      <c r="D2397">
        <v>0</v>
      </c>
      <c r="E2397">
        <v>0</v>
      </c>
      <c r="F2397">
        <v>0</v>
      </c>
      <c r="G2397">
        <v>0</v>
      </c>
      <c r="H2397">
        <v>0</v>
      </c>
      <c r="I2397" t="s">
        <v>22</v>
      </c>
      <c r="J2397" t="s">
        <v>22</v>
      </c>
    </row>
    <row r="2398" spans="1:10" x14ac:dyDescent="0.25">
      <c r="A2398" t="s">
        <v>1655</v>
      </c>
      <c r="B2398" t="s">
        <v>1656</v>
      </c>
      <c r="C2398">
        <v>0</v>
      </c>
      <c r="D2398" s="2">
        <v>357424</v>
      </c>
      <c r="E2398">
        <v>0</v>
      </c>
      <c r="F2398">
        <v>0</v>
      </c>
      <c r="G2398">
        <v>0</v>
      </c>
      <c r="H2398">
        <v>0</v>
      </c>
      <c r="I2398" t="s">
        <v>22</v>
      </c>
      <c r="J2398" t="s">
        <v>22</v>
      </c>
    </row>
    <row r="2399" spans="1:10" x14ac:dyDescent="0.25">
      <c r="A2399" t="s">
        <v>1657</v>
      </c>
      <c r="B2399" t="s">
        <v>1658</v>
      </c>
      <c r="C2399">
        <v>0</v>
      </c>
      <c r="D2399">
        <v>0</v>
      </c>
      <c r="E2399">
        <v>0</v>
      </c>
      <c r="F2399" s="2">
        <v>92299</v>
      </c>
      <c r="G2399">
        <v>0</v>
      </c>
      <c r="H2399">
        <v>0</v>
      </c>
      <c r="I2399" t="s">
        <v>22</v>
      </c>
      <c r="J2399" t="s">
        <v>22</v>
      </c>
    </row>
    <row r="2400" spans="1:10" x14ac:dyDescent="0.25">
      <c r="A2400" t="s">
        <v>1659</v>
      </c>
      <c r="B2400" t="s">
        <v>1660</v>
      </c>
      <c r="C2400">
        <v>0</v>
      </c>
      <c r="D2400">
        <v>0</v>
      </c>
      <c r="E2400">
        <v>0</v>
      </c>
      <c r="F2400">
        <v>0</v>
      </c>
      <c r="G2400">
        <v>0</v>
      </c>
      <c r="H2400">
        <v>0</v>
      </c>
      <c r="I2400" t="s">
        <v>22</v>
      </c>
      <c r="J2400" t="s">
        <v>22</v>
      </c>
    </row>
    <row r="2401" spans="1:10" x14ac:dyDescent="0.25">
      <c r="C2401" t="s">
        <v>108</v>
      </c>
      <c r="D2401" t="s">
        <v>108</v>
      </c>
      <c r="E2401" t="s">
        <v>108</v>
      </c>
      <c r="F2401" t="s">
        <v>108</v>
      </c>
      <c r="G2401" t="s">
        <v>108</v>
      </c>
    </row>
    <row r="2402" spans="1:10" x14ac:dyDescent="0.25">
      <c r="H2402" t="s">
        <v>22</v>
      </c>
      <c r="I2402" t="s">
        <v>22</v>
      </c>
      <c r="J2402" t="s">
        <v>22</v>
      </c>
    </row>
    <row r="2403" spans="1:10" x14ac:dyDescent="0.25">
      <c r="A2403" t="s">
        <v>109</v>
      </c>
    </row>
    <row r="2404" spans="1:10" x14ac:dyDescent="0.25">
      <c r="B2404" t="s">
        <v>371</v>
      </c>
      <c r="C2404" s="2">
        <v>420123</v>
      </c>
      <c r="D2404" s="2">
        <v>715720</v>
      </c>
      <c r="E2404" s="2">
        <v>343485</v>
      </c>
      <c r="F2404" s="2">
        <v>380355</v>
      </c>
      <c r="G2404" s="2">
        <v>223014</v>
      </c>
      <c r="H2404">
        <v>0</v>
      </c>
    </row>
    <row r="2405" spans="1:10" x14ac:dyDescent="0.25">
      <c r="A2405" t="s">
        <v>18</v>
      </c>
      <c r="B2405" t="s">
        <v>19</v>
      </c>
      <c r="C2405" t="s">
        <v>20</v>
      </c>
      <c r="D2405" t="s">
        <v>21</v>
      </c>
      <c r="E2405" t="s">
        <v>26</v>
      </c>
    </row>
    <row r="2406" spans="1:10" x14ac:dyDescent="0.25">
      <c r="E2406" t="s">
        <v>339</v>
      </c>
      <c r="F2406" t="s">
        <v>23</v>
      </c>
      <c r="G2406" t="s">
        <v>24</v>
      </c>
      <c r="H2406" t="s">
        <v>20</v>
      </c>
      <c r="I2406" t="s">
        <v>24</v>
      </c>
      <c r="J2406" t="s">
        <v>20</v>
      </c>
    </row>
    <row r="2408" spans="1:10" x14ac:dyDescent="0.25">
      <c r="A2408" t="s">
        <v>383</v>
      </c>
      <c r="B2408" t="s">
        <v>384</v>
      </c>
      <c r="C2408" s="2">
        <v>420123</v>
      </c>
      <c r="D2408" s="2">
        <v>715720</v>
      </c>
      <c r="E2408" s="2">
        <v>343485</v>
      </c>
      <c r="F2408" s="2">
        <v>380355</v>
      </c>
      <c r="G2408" s="2">
        <v>223014</v>
      </c>
      <c r="H2408">
        <v>0</v>
      </c>
    </row>
    <row r="2409" spans="1:10" x14ac:dyDescent="0.25">
      <c r="A2409" t="s">
        <v>110</v>
      </c>
    </row>
    <row r="2410" spans="1:10" x14ac:dyDescent="0.25">
      <c r="A2410" s="1">
        <v>43991</v>
      </c>
      <c r="B2410" t="s">
        <v>1615</v>
      </c>
      <c r="D2410" t="s">
        <v>112</v>
      </c>
      <c r="E2410" t="s">
        <v>113</v>
      </c>
      <c r="F2410" t="s">
        <v>114</v>
      </c>
      <c r="J2410" t="s">
        <v>115</v>
      </c>
    </row>
    <row r="2411" spans="1:10" x14ac:dyDescent="0.25">
      <c r="D2411" t="s">
        <v>116</v>
      </c>
      <c r="E2411" t="s">
        <v>117</v>
      </c>
      <c r="F2411" t="s">
        <v>118</v>
      </c>
    </row>
    <row r="2412" spans="1:10" x14ac:dyDescent="0.25">
      <c r="D2412" t="s">
        <v>119</v>
      </c>
      <c r="E2412" t="s">
        <v>120</v>
      </c>
      <c r="F2412" t="s">
        <v>121</v>
      </c>
    </row>
    <row r="2413" spans="1:10" x14ac:dyDescent="0.25">
      <c r="A2413" t="s">
        <v>1635</v>
      </c>
      <c r="B2413" t="s">
        <v>1636</v>
      </c>
    </row>
    <row r="2414" spans="1:10" x14ac:dyDescent="0.25">
      <c r="A2414" t="s">
        <v>386</v>
      </c>
    </row>
    <row r="2415" spans="1:10" x14ac:dyDescent="0.25">
      <c r="F2415" t="s">
        <v>2</v>
      </c>
      <c r="G2415" t="s">
        <v>3</v>
      </c>
      <c r="H2415" t="s">
        <v>4</v>
      </c>
      <c r="I2415" t="s">
        <v>5</v>
      </c>
      <c r="J2415" t="s">
        <v>6</v>
      </c>
    </row>
    <row r="2416" spans="1:10" x14ac:dyDescent="0.25">
      <c r="C2416" t="s">
        <v>7</v>
      </c>
      <c r="D2416" t="s">
        <v>8</v>
      </c>
      <c r="E2416" t="s">
        <v>9</v>
      </c>
      <c r="F2416" t="s">
        <v>10</v>
      </c>
      <c r="G2416" t="s">
        <v>124</v>
      </c>
      <c r="H2416" t="s">
        <v>12</v>
      </c>
      <c r="I2416" t="s">
        <v>13</v>
      </c>
      <c r="J2416" t="s">
        <v>14</v>
      </c>
    </row>
    <row r="2417" spans="1:10" x14ac:dyDescent="0.25">
      <c r="C2417" t="s">
        <v>15</v>
      </c>
      <c r="D2417" t="s">
        <v>15</v>
      </c>
      <c r="E2417" t="s">
        <v>15</v>
      </c>
      <c r="F2417" t="s">
        <v>16</v>
      </c>
      <c r="G2417" t="s">
        <v>15</v>
      </c>
      <c r="H2417" t="s">
        <v>17</v>
      </c>
      <c r="I2417" t="s">
        <v>16</v>
      </c>
      <c r="J2417" t="s">
        <v>16</v>
      </c>
    </row>
    <row r="2418" spans="1:10" x14ac:dyDescent="0.25">
      <c r="A2418" t="s">
        <v>18</v>
      </c>
      <c r="B2418" t="s">
        <v>19</v>
      </c>
      <c r="C2418" t="s">
        <v>20</v>
      </c>
      <c r="D2418" t="s">
        <v>21</v>
      </c>
      <c r="E2418" t="s">
        <v>22</v>
      </c>
      <c r="F2418" t="s">
        <v>23</v>
      </c>
      <c r="G2418" t="s">
        <v>24</v>
      </c>
      <c r="H2418" t="s">
        <v>20</v>
      </c>
      <c r="I2418" t="s">
        <v>24</v>
      </c>
      <c r="J2418" t="s">
        <v>20</v>
      </c>
    </row>
    <row r="2421" spans="1:10" x14ac:dyDescent="0.25">
      <c r="A2421" t="s">
        <v>352</v>
      </c>
      <c r="B2421" t="s">
        <v>353</v>
      </c>
    </row>
    <row r="2422" spans="1:10" x14ac:dyDescent="0.25">
      <c r="A2422" t="s">
        <v>389</v>
      </c>
      <c r="B2422" t="s">
        <v>1661</v>
      </c>
    </row>
    <row r="2424" spans="1:10" x14ac:dyDescent="0.25">
      <c r="A2424" t="s">
        <v>391</v>
      </c>
      <c r="B2424" t="s">
        <v>392</v>
      </c>
    </row>
    <row r="2425" spans="1:10" x14ac:dyDescent="0.25">
      <c r="A2425" t="s">
        <v>18</v>
      </c>
      <c r="B2425" t="s">
        <v>228</v>
      </c>
    </row>
    <row r="2426" spans="1:10" x14ac:dyDescent="0.25">
      <c r="A2426" t="s">
        <v>1662</v>
      </c>
      <c r="B2426" t="s">
        <v>569</v>
      </c>
      <c r="C2426">
        <v>646</v>
      </c>
      <c r="D2426">
        <v>565</v>
      </c>
      <c r="E2426">
        <v>0</v>
      </c>
      <c r="F2426">
        <v>0</v>
      </c>
      <c r="G2426">
        <v>0</v>
      </c>
      <c r="H2426">
        <v>0</v>
      </c>
      <c r="I2426" t="s">
        <v>22</v>
      </c>
      <c r="J2426" t="s">
        <v>22</v>
      </c>
    </row>
    <row r="2427" spans="1:10" x14ac:dyDescent="0.25">
      <c r="A2427" t="s">
        <v>1663</v>
      </c>
      <c r="B2427" t="s">
        <v>396</v>
      </c>
      <c r="C2427">
        <v>114</v>
      </c>
      <c r="D2427">
        <v>13</v>
      </c>
      <c r="E2427">
        <v>95</v>
      </c>
      <c r="F2427">
        <v>252</v>
      </c>
      <c r="G2427">
        <v>32</v>
      </c>
      <c r="H2427">
        <v>0</v>
      </c>
      <c r="I2427" t="s">
        <v>22</v>
      </c>
      <c r="J2427" t="s">
        <v>22</v>
      </c>
    </row>
    <row r="2428" spans="1:10" x14ac:dyDescent="0.25">
      <c r="A2428" t="s">
        <v>1664</v>
      </c>
      <c r="B2428" t="s">
        <v>398</v>
      </c>
      <c r="C2428">
        <v>596</v>
      </c>
      <c r="D2428" s="2">
        <v>1060</v>
      </c>
      <c r="E2428" s="2">
        <v>1075</v>
      </c>
      <c r="F2428" s="2">
        <v>1117</v>
      </c>
      <c r="G2428">
        <v>391</v>
      </c>
      <c r="H2428">
        <v>0</v>
      </c>
      <c r="I2428" t="s">
        <v>22</v>
      </c>
      <c r="J2428" t="s">
        <v>22</v>
      </c>
    </row>
    <row r="2429" spans="1:10" x14ac:dyDescent="0.25">
      <c r="A2429" t="s">
        <v>1665</v>
      </c>
      <c r="B2429" t="s">
        <v>400</v>
      </c>
      <c r="C2429">
        <v>0</v>
      </c>
      <c r="D2429">
        <v>0</v>
      </c>
      <c r="E2429">
        <v>0</v>
      </c>
      <c r="F2429">
        <v>0</v>
      </c>
      <c r="G2429">
        <v>0</v>
      </c>
      <c r="H2429">
        <v>0</v>
      </c>
      <c r="I2429" t="s">
        <v>22</v>
      </c>
      <c r="J2429" t="s">
        <v>22</v>
      </c>
    </row>
    <row r="2430" spans="1:10" x14ac:dyDescent="0.25">
      <c r="A2430" t="s">
        <v>1666</v>
      </c>
      <c r="B2430" t="s">
        <v>406</v>
      </c>
      <c r="C2430">
        <v>0</v>
      </c>
      <c r="D2430">
        <v>229</v>
      </c>
      <c r="E2430">
        <v>835</v>
      </c>
      <c r="F2430">
        <v>919</v>
      </c>
      <c r="G2430" s="2">
        <v>1246</v>
      </c>
      <c r="H2430">
        <v>0</v>
      </c>
      <c r="I2430" t="s">
        <v>22</v>
      </c>
      <c r="J2430" t="s">
        <v>22</v>
      </c>
    </row>
    <row r="2431" spans="1:10" x14ac:dyDescent="0.25">
      <c r="A2431" t="s">
        <v>1667</v>
      </c>
      <c r="B2431" t="s">
        <v>424</v>
      </c>
      <c r="C2431">
        <v>35</v>
      </c>
      <c r="D2431">
        <v>35</v>
      </c>
      <c r="E2431">
        <v>69</v>
      </c>
      <c r="F2431">
        <v>50</v>
      </c>
      <c r="G2431">
        <v>0</v>
      </c>
      <c r="H2431">
        <v>0</v>
      </c>
      <c r="I2431" t="s">
        <v>22</v>
      </c>
      <c r="J2431" t="s">
        <v>22</v>
      </c>
    </row>
    <row r="2432" spans="1:10" x14ac:dyDescent="0.25">
      <c r="A2432" t="s">
        <v>1668</v>
      </c>
      <c r="B2432" t="s">
        <v>1204</v>
      </c>
      <c r="C2432">
        <v>180</v>
      </c>
      <c r="D2432">
        <v>180</v>
      </c>
      <c r="E2432">
        <v>180</v>
      </c>
      <c r="F2432">
        <v>180</v>
      </c>
      <c r="G2432">
        <v>0</v>
      </c>
      <c r="H2432">
        <v>0</v>
      </c>
      <c r="I2432" t="s">
        <v>22</v>
      </c>
      <c r="J2432" t="s">
        <v>22</v>
      </c>
    </row>
    <row r="2433" spans="1:10" x14ac:dyDescent="0.25">
      <c r="A2433" t="s">
        <v>1669</v>
      </c>
      <c r="B2433" t="s">
        <v>428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v>0</v>
      </c>
      <c r="I2433" t="s">
        <v>22</v>
      </c>
      <c r="J2433" t="s">
        <v>22</v>
      </c>
    </row>
    <row r="2434" spans="1:10" x14ac:dyDescent="0.25">
      <c r="A2434" t="s">
        <v>1670</v>
      </c>
      <c r="B2434" t="s">
        <v>430</v>
      </c>
      <c r="C2434">
        <v>35</v>
      </c>
      <c r="D2434">
        <v>35</v>
      </c>
      <c r="E2434">
        <v>35</v>
      </c>
      <c r="F2434">
        <v>35</v>
      </c>
      <c r="G2434">
        <v>0</v>
      </c>
      <c r="H2434">
        <v>0</v>
      </c>
      <c r="I2434" t="s">
        <v>22</v>
      </c>
      <c r="J2434" t="s">
        <v>22</v>
      </c>
    </row>
    <row r="2435" spans="1:10" x14ac:dyDescent="0.25">
      <c r="A2435" t="s">
        <v>1671</v>
      </c>
      <c r="B2435" t="s">
        <v>1672</v>
      </c>
      <c r="C2435" s="2">
        <v>7545</v>
      </c>
      <c r="D2435" s="2">
        <v>13613</v>
      </c>
      <c r="E2435" s="2">
        <v>13763</v>
      </c>
      <c r="F2435" s="2">
        <v>14333</v>
      </c>
      <c r="G2435" s="2">
        <v>5108</v>
      </c>
      <c r="H2435">
        <v>0</v>
      </c>
      <c r="I2435" t="s">
        <v>22</v>
      </c>
      <c r="J2435" t="s">
        <v>22</v>
      </c>
    </row>
    <row r="2436" spans="1:10" x14ac:dyDescent="0.25">
      <c r="A2436" t="s">
        <v>1673</v>
      </c>
      <c r="B2436" t="s">
        <v>434</v>
      </c>
      <c r="C2436">
        <v>0</v>
      </c>
      <c r="D2436">
        <v>0</v>
      </c>
      <c r="E2436">
        <v>0</v>
      </c>
      <c r="F2436">
        <v>0</v>
      </c>
      <c r="G2436">
        <v>0</v>
      </c>
      <c r="H2436">
        <v>0</v>
      </c>
      <c r="I2436" t="s">
        <v>22</v>
      </c>
      <c r="J2436" t="s">
        <v>22</v>
      </c>
    </row>
    <row r="2437" spans="1:10" x14ac:dyDescent="0.25">
      <c r="A2437" t="s">
        <v>1674</v>
      </c>
      <c r="B2437" t="s">
        <v>436</v>
      </c>
      <c r="C2437">
        <v>0</v>
      </c>
      <c r="D2437">
        <v>0</v>
      </c>
      <c r="E2437">
        <v>0</v>
      </c>
      <c r="F2437">
        <v>0</v>
      </c>
      <c r="G2437">
        <v>0</v>
      </c>
      <c r="H2437">
        <v>0</v>
      </c>
      <c r="I2437" t="s">
        <v>22</v>
      </c>
      <c r="J2437" t="s">
        <v>22</v>
      </c>
    </row>
    <row r="2438" spans="1:10" x14ac:dyDescent="0.25">
      <c r="A2438" t="s">
        <v>1675</v>
      </c>
      <c r="B2438" t="s">
        <v>1676</v>
      </c>
      <c r="C2438">
        <v>0</v>
      </c>
      <c r="D2438">
        <v>0</v>
      </c>
      <c r="E2438">
        <v>0</v>
      </c>
      <c r="F2438">
        <v>0</v>
      </c>
      <c r="G2438">
        <v>0</v>
      </c>
      <c r="H2438">
        <v>0</v>
      </c>
      <c r="I2438" t="s">
        <v>22</v>
      </c>
      <c r="J2438" t="s">
        <v>22</v>
      </c>
    </row>
    <row r="2439" spans="1:10" x14ac:dyDescent="0.25">
      <c r="C2439" t="s">
        <v>108</v>
      </c>
      <c r="D2439" t="s">
        <v>108</v>
      </c>
      <c r="E2439" t="s">
        <v>108</v>
      </c>
      <c r="F2439" t="s">
        <v>108</v>
      </c>
      <c r="G2439" t="s">
        <v>108</v>
      </c>
    </row>
    <row r="2440" spans="1:10" x14ac:dyDescent="0.25">
      <c r="H2440" t="s">
        <v>22</v>
      </c>
      <c r="I2440" t="s">
        <v>22</v>
      </c>
      <c r="J2440" t="s">
        <v>22</v>
      </c>
    </row>
    <row r="2441" spans="1:10" x14ac:dyDescent="0.25">
      <c r="A2441" t="s">
        <v>109</v>
      </c>
    </row>
    <row r="2442" spans="1:10" x14ac:dyDescent="0.25">
      <c r="B2442" t="s">
        <v>441</v>
      </c>
      <c r="C2442" s="2">
        <v>9151</v>
      </c>
      <c r="D2442" s="2">
        <v>15729</v>
      </c>
      <c r="E2442" s="2">
        <v>16051</v>
      </c>
      <c r="F2442" s="2">
        <v>16886</v>
      </c>
      <c r="G2442" s="2">
        <v>6776</v>
      </c>
      <c r="H2442">
        <v>0</v>
      </c>
    </row>
    <row r="2444" spans="1:10" x14ac:dyDescent="0.25">
      <c r="A2444" t="s">
        <v>442</v>
      </c>
      <c r="B2444" t="s">
        <v>443</v>
      </c>
    </row>
    <row r="2445" spans="1:10" x14ac:dyDescent="0.25">
      <c r="A2445" t="s">
        <v>18</v>
      </c>
      <c r="B2445" t="s">
        <v>21</v>
      </c>
    </row>
    <row r="2446" spans="1:10" x14ac:dyDescent="0.25">
      <c r="A2446" t="s">
        <v>1677</v>
      </c>
      <c r="B2446" t="s">
        <v>445</v>
      </c>
      <c r="C2446" s="2">
        <v>3400</v>
      </c>
      <c r="D2446" s="2">
        <v>3577</v>
      </c>
      <c r="E2446" s="2">
        <v>3681</v>
      </c>
      <c r="F2446" s="2">
        <v>4049</v>
      </c>
      <c r="G2446" s="2">
        <v>3706</v>
      </c>
      <c r="H2446">
        <v>0</v>
      </c>
      <c r="I2446" t="s">
        <v>22</v>
      </c>
      <c r="J2446" t="s">
        <v>22</v>
      </c>
    </row>
    <row r="2447" spans="1:10" x14ac:dyDescent="0.25">
      <c r="A2447" t="s">
        <v>1678</v>
      </c>
      <c r="B2447" t="s">
        <v>449</v>
      </c>
      <c r="C2447">
        <v>0</v>
      </c>
      <c r="D2447">
        <v>0</v>
      </c>
      <c r="E2447">
        <v>0</v>
      </c>
      <c r="F2447">
        <v>0</v>
      </c>
      <c r="G2447">
        <v>0</v>
      </c>
      <c r="H2447">
        <v>0</v>
      </c>
      <c r="I2447" t="s">
        <v>22</v>
      </c>
      <c r="J2447" t="s">
        <v>22</v>
      </c>
    </row>
    <row r="2448" spans="1:10" x14ac:dyDescent="0.25">
      <c r="A2448" t="s">
        <v>1679</v>
      </c>
      <c r="B2448" t="s">
        <v>453</v>
      </c>
      <c r="C2448">
        <v>0</v>
      </c>
      <c r="D2448">
        <v>0</v>
      </c>
      <c r="E2448">
        <v>0</v>
      </c>
      <c r="F2448">
        <v>0</v>
      </c>
      <c r="G2448">
        <v>0</v>
      </c>
      <c r="H2448">
        <v>0</v>
      </c>
      <c r="I2448" t="s">
        <v>22</v>
      </c>
      <c r="J2448" t="s">
        <v>22</v>
      </c>
    </row>
    <row r="2449" spans="1:10" x14ac:dyDescent="0.25">
      <c r="A2449" t="s">
        <v>1680</v>
      </c>
      <c r="B2449" t="s">
        <v>710</v>
      </c>
      <c r="C2449" s="2">
        <v>8933</v>
      </c>
      <c r="D2449" s="2">
        <v>6855</v>
      </c>
      <c r="E2449" s="2">
        <v>7684</v>
      </c>
      <c r="F2449" s="2">
        <v>7000</v>
      </c>
      <c r="G2449" s="2">
        <v>4637</v>
      </c>
      <c r="H2449">
        <v>0</v>
      </c>
      <c r="I2449" t="s">
        <v>22</v>
      </c>
      <c r="J2449" t="s">
        <v>22</v>
      </c>
    </row>
    <row r="2450" spans="1:10" x14ac:dyDescent="0.25">
      <c r="A2450" t="s">
        <v>1681</v>
      </c>
      <c r="B2450" t="s">
        <v>471</v>
      </c>
      <c r="C2450" s="2">
        <v>3347</v>
      </c>
      <c r="D2450" s="2">
        <v>2871</v>
      </c>
      <c r="E2450" s="2">
        <v>2786</v>
      </c>
      <c r="F2450" s="2">
        <v>3500</v>
      </c>
      <c r="G2450" s="2">
        <v>1895</v>
      </c>
      <c r="H2450">
        <v>0</v>
      </c>
      <c r="I2450" t="s">
        <v>22</v>
      </c>
      <c r="J2450" t="s">
        <v>22</v>
      </c>
    </row>
    <row r="2451" spans="1:10" x14ac:dyDescent="0.25">
      <c r="A2451" t="s">
        <v>1682</v>
      </c>
      <c r="B2451" t="s">
        <v>1047</v>
      </c>
      <c r="C2451" s="2">
        <v>5891</v>
      </c>
      <c r="D2451" s="2">
        <v>7495</v>
      </c>
      <c r="E2451" s="2">
        <v>8464</v>
      </c>
      <c r="F2451" s="2">
        <v>8500</v>
      </c>
      <c r="G2451" s="2">
        <v>5188</v>
      </c>
      <c r="H2451">
        <v>0</v>
      </c>
      <c r="I2451" t="s">
        <v>22</v>
      </c>
      <c r="J2451" t="s">
        <v>22</v>
      </c>
    </row>
    <row r="2452" spans="1:10" x14ac:dyDescent="0.25">
      <c r="A2452" t="s">
        <v>1683</v>
      </c>
      <c r="B2452" t="s">
        <v>1049</v>
      </c>
      <c r="C2452">
        <v>551</v>
      </c>
      <c r="D2452">
        <v>776</v>
      </c>
      <c r="E2452" s="2">
        <v>1271</v>
      </c>
      <c r="F2452" s="2">
        <v>2000</v>
      </c>
      <c r="G2452">
        <v>586</v>
      </c>
      <c r="H2452">
        <v>0</v>
      </c>
      <c r="I2452" t="s">
        <v>22</v>
      </c>
      <c r="J2452" t="s">
        <v>22</v>
      </c>
    </row>
    <row r="2453" spans="1:10" x14ac:dyDescent="0.25">
      <c r="A2453" t="s">
        <v>1684</v>
      </c>
      <c r="B2453" t="s">
        <v>1051</v>
      </c>
      <c r="C2453">
        <v>586</v>
      </c>
      <c r="D2453">
        <v>781</v>
      </c>
      <c r="E2453" s="2">
        <v>1233</v>
      </c>
      <c r="F2453" s="2">
        <v>2000</v>
      </c>
      <c r="G2453">
        <v>622</v>
      </c>
      <c r="H2453">
        <v>0</v>
      </c>
      <c r="I2453" t="s">
        <v>22</v>
      </c>
      <c r="J2453" t="s">
        <v>22</v>
      </c>
    </row>
    <row r="2454" spans="1:10" x14ac:dyDescent="0.25">
      <c r="A2454" t="s">
        <v>1685</v>
      </c>
      <c r="B2454" t="s">
        <v>473</v>
      </c>
      <c r="C2454" s="2">
        <v>7046</v>
      </c>
      <c r="D2454" s="2">
        <v>4749</v>
      </c>
      <c r="E2454" s="2">
        <v>11003</v>
      </c>
      <c r="F2454" s="2">
        <v>13000</v>
      </c>
      <c r="G2454" s="2">
        <v>9413</v>
      </c>
      <c r="H2454">
        <v>0</v>
      </c>
      <c r="I2454" t="s">
        <v>22</v>
      </c>
      <c r="J2454" t="s">
        <v>22</v>
      </c>
    </row>
    <row r="2455" spans="1:10" x14ac:dyDescent="0.25">
      <c r="A2455" t="s">
        <v>1686</v>
      </c>
      <c r="B2455" t="s">
        <v>1687</v>
      </c>
      <c r="C2455">
        <v>0</v>
      </c>
      <c r="D2455">
        <v>0</v>
      </c>
      <c r="E2455">
        <v>0</v>
      </c>
      <c r="F2455">
        <v>0</v>
      </c>
      <c r="G2455">
        <v>0</v>
      </c>
      <c r="H2455">
        <v>0</v>
      </c>
      <c r="I2455" t="s">
        <v>22</v>
      </c>
      <c r="J2455" t="s">
        <v>22</v>
      </c>
    </row>
    <row r="2456" spans="1:10" x14ac:dyDescent="0.25">
      <c r="A2456" t="s">
        <v>1688</v>
      </c>
      <c r="B2456" t="s">
        <v>368</v>
      </c>
      <c r="C2456">
        <v>0</v>
      </c>
      <c r="D2456">
        <v>0</v>
      </c>
      <c r="E2456">
        <v>0</v>
      </c>
      <c r="F2456">
        <v>0</v>
      </c>
      <c r="G2456">
        <v>0</v>
      </c>
      <c r="H2456">
        <v>0</v>
      </c>
      <c r="I2456" t="s">
        <v>22</v>
      </c>
      <c r="J2456" t="s">
        <v>22</v>
      </c>
    </row>
    <row r="2457" spans="1:10" x14ac:dyDescent="0.25">
      <c r="A2457" t="s">
        <v>1689</v>
      </c>
      <c r="B2457" t="s">
        <v>1690</v>
      </c>
      <c r="C2457">
        <v>155</v>
      </c>
      <c r="D2457">
        <v>0</v>
      </c>
      <c r="E2457">
        <v>722</v>
      </c>
      <c r="F2457" s="2">
        <v>1000</v>
      </c>
      <c r="G2457">
        <v>852</v>
      </c>
      <c r="H2457">
        <v>0</v>
      </c>
      <c r="I2457" t="s">
        <v>22</v>
      </c>
      <c r="J2457" t="s">
        <v>22</v>
      </c>
    </row>
    <row r="2458" spans="1:10" x14ac:dyDescent="0.25">
      <c r="A2458" t="s">
        <v>1691</v>
      </c>
      <c r="B2458" t="s">
        <v>360</v>
      </c>
      <c r="C2458">
        <v>0</v>
      </c>
      <c r="D2458">
        <v>0</v>
      </c>
      <c r="E2458">
        <v>0</v>
      </c>
      <c r="F2458">
        <v>0</v>
      </c>
      <c r="G2458">
        <v>0</v>
      </c>
      <c r="H2458">
        <v>0</v>
      </c>
      <c r="I2458" t="s">
        <v>22</v>
      </c>
      <c r="J2458" t="s">
        <v>22</v>
      </c>
    </row>
    <row r="2459" spans="1:10" x14ac:dyDescent="0.25">
      <c r="A2459" t="s">
        <v>1692</v>
      </c>
      <c r="B2459" t="s">
        <v>475</v>
      </c>
      <c r="C2459" s="2">
        <v>1999</v>
      </c>
      <c r="D2459">
        <v>530</v>
      </c>
      <c r="E2459">
        <v>925</v>
      </c>
      <c r="F2459">
        <v>0</v>
      </c>
      <c r="G2459">
        <v>50</v>
      </c>
      <c r="H2459">
        <v>0</v>
      </c>
      <c r="I2459" t="s">
        <v>22</v>
      </c>
      <c r="J2459" t="s">
        <v>22</v>
      </c>
    </row>
    <row r="2460" spans="1:10" x14ac:dyDescent="0.25">
      <c r="A2460" t="s">
        <v>1693</v>
      </c>
      <c r="B2460" t="s">
        <v>762</v>
      </c>
      <c r="C2460">
        <v>536</v>
      </c>
      <c r="D2460">
        <v>318</v>
      </c>
      <c r="E2460">
        <v>0</v>
      </c>
      <c r="F2460">
        <v>500</v>
      </c>
      <c r="G2460">
        <v>76</v>
      </c>
      <c r="H2460">
        <v>0</v>
      </c>
      <c r="I2460" t="s">
        <v>22</v>
      </c>
      <c r="J2460" t="s">
        <v>22</v>
      </c>
    </row>
    <row r="2461" spans="1:10" x14ac:dyDescent="0.25">
      <c r="C2461" t="s">
        <v>108</v>
      </c>
      <c r="D2461" t="s">
        <v>108</v>
      </c>
      <c r="E2461" t="s">
        <v>108</v>
      </c>
      <c r="F2461" t="s">
        <v>108</v>
      </c>
      <c r="G2461" t="s">
        <v>108</v>
      </c>
    </row>
    <row r="2462" spans="1:10" x14ac:dyDescent="0.25">
      <c r="H2462" t="s">
        <v>22</v>
      </c>
      <c r="I2462" t="s">
        <v>22</v>
      </c>
      <c r="J2462" t="s">
        <v>22</v>
      </c>
    </row>
    <row r="2463" spans="1:10" x14ac:dyDescent="0.25">
      <c r="A2463" t="s">
        <v>109</v>
      </c>
    </row>
    <row r="2464" spans="1:10" x14ac:dyDescent="0.25">
      <c r="B2464" t="s">
        <v>478</v>
      </c>
      <c r="C2464" s="2">
        <v>32444</v>
      </c>
      <c r="D2464" s="2">
        <v>27953</v>
      </c>
      <c r="E2464" s="2">
        <v>37770</v>
      </c>
      <c r="F2464" s="2">
        <v>41549</v>
      </c>
      <c r="G2464" s="2">
        <v>27025</v>
      </c>
      <c r="H2464">
        <v>0</v>
      </c>
    </row>
    <row r="2466" spans="1:10" x14ac:dyDescent="0.25">
      <c r="A2466" t="s">
        <v>489</v>
      </c>
    </row>
    <row r="2467" spans="1:10" x14ac:dyDescent="0.25">
      <c r="A2467" t="s">
        <v>18</v>
      </c>
    </row>
    <row r="2468" spans="1:10" x14ac:dyDescent="0.25">
      <c r="A2468" t="s">
        <v>1694</v>
      </c>
      <c r="B2468" t="s">
        <v>489</v>
      </c>
      <c r="C2468" s="2">
        <v>2126</v>
      </c>
      <c r="D2468" s="2">
        <v>2708</v>
      </c>
      <c r="E2468" s="2">
        <v>5133</v>
      </c>
      <c r="F2468" s="2">
        <v>5000</v>
      </c>
      <c r="G2468" s="2">
        <v>1014</v>
      </c>
      <c r="H2468">
        <v>0</v>
      </c>
      <c r="I2468" t="s">
        <v>22</v>
      </c>
      <c r="J2468" t="s">
        <v>22</v>
      </c>
    </row>
    <row r="2469" spans="1:10" x14ac:dyDescent="0.25">
      <c r="A2469" t="s">
        <v>1695</v>
      </c>
      <c r="B2469" t="s">
        <v>496</v>
      </c>
      <c r="C2469" s="2">
        <v>365465</v>
      </c>
      <c r="D2469" s="2">
        <v>196803</v>
      </c>
      <c r="E2469" s="2">
        <v>214690</v>
      </c>
      <c r="F2469" s="2">
        <v>261382</v>
      </c>
      <c r="G2469" s="2">
        <v>140673</v>
      </c>
      <c r="H2469">
        <v>0</v>
      </c>
      <c r="I2469" t="s">
        <v>22</v>
      </c>
      <c r="J2469" t="s">
        <v>22</v>
      </c>
    </row>
    <row r="2470" spans="1:10" x14ac:dyDescent="0.25">
      <c r="A2470" t="s">
        <v>1696</v>
      </c>
      <c r="B2470" t="s">
        <v>498</v>
      </c>
      <c r="C2470">
        <v>0</v>
      </c>
      <c r="D2470">
        <v>0</v>
      </c>
      <c r="E2470">
        <v>0</v>
      </c>
      <c r="F2470">
        <v>0</v>
      </c>
      <c r="G2470">
        <v>0</v>
      </c>
      <c r="H2470">
        <v>0</v>
      </c>
      <c r="I2470" t="s">
        <v>22</v>
      </c>
      <c r="J2470" t="s">
        <v>22</v>
      </c>
    </row>
    <row r="2471" spans="1:10" x14ac:dyDescent="0.25">
      <c r="A2471" t="s">
        <v>1697</v>
      </c>
      <c r="B2471" t="s">
        <v>500</v>
      </c>
      <c r="C2471">
        <v>0</v>
      </c>
      <c r="D2471">
        <v>0</v>
      </c>
      <c r="E2471">
        <v>0</v>
      </c>
      <c r="F2471">
        <v>0</v>
      </c>
      <c r="G2471">
        <v>0</v>
      </c>
      <c r="H2471">
        <v>0</v>
      </c>
      <c r="I2471" t="s">
        <v>22</v>
      </c>
      <c r="J2471" t="s">
        <v>22</v>
      </c>
    </row>
    <row r="2472" spans="1:10" x14ac:dyDescent="0.25">
      <c r="C2472" t="s">
        <v>108</v>
      </c>
      <c r="D2472" t="s">
        <v>108</v>
      </c>
      <c r="E2472" t="s">
        <v>108</v>
      </c>
      <c r="F2472" t="s">
        <v>108</v>
      </c>
      <c r="G2472" t="s">
        <v>108</v>
      </c>
    </row>
    <row r="2473" spans="1:10" x14ac:dyDescent="0.25">
      <c r="H2473" t="s">
        <v>22</v>
      </c>
      <c r="I2473" t="s">
        <v>22</v>
      </c>
      <c r="J2473" t="s">
        <v>22</v>
      </c>
    </row>
    <row r="2474" spans="1:10" x14ac:dyDescent="0.25">
      <c r="A2474" t="s">
        <v>109</v>
      </c>
    </row>
    <row r="2475" spans="1:10" x14ac:dyDescent="0.25">
      <c r="B2475" t="s">
        <v>489</v>
      </c>
      <c r="C2475" s="2">
        <v>367591</v>
      </c>
      <c r="D2475" s="2">
        <v>199511</v>
      </c>
      <c r="E2475" s="2">
        <v>219823</v>
      </c>
      <c r="F2475" s="2">
        <v>266382</v>
      </c>
      <c r="G2475" s="2">
        <v>141687</v>
      </c>
      <c r="H2475">
        <v>0</v>
      </c>
    </row>
    <row r="2476" spans="1:10" x14ac:dyDescent="0.25">
      <c r="A2476" t="s">
        <v>110</v>
      </c>
    </row>
    <row r="2477" spans="1:10" x14ac:dyDescent="0.25">
      <c r="A2477" s="1">
        <v>43991</v>
      </c>
      <c r="B2477" t="s">
        <v>1615</v>
      </c>
      <c r="D2477" t="s">
        <v>112</v>
      </c>
      <c r="E2477" t="s">
        <v>113</v>
      </c>
      <c r="F2477" t="s">
        <v>114</v>
      </c>
      <c r="J2477" t="s">
        <v>217</v>
      </c>
    </row>
    <row r="2478" spans="1:10" x14ac:dyDescent="0.25">
      <c r="D2478" t="s">
        <v>116</v>
      </c>
      <c r="E2478" t="s">
        <v>117</v>
      </c>
      <c r="F2478" t="s">
        <v>118</v>
      </c>
    </row>
    <row r="2479" spans="1:10" x14ac:dyDescent="0.25">
      <c r="D2479" t="s">
        <v>119</v>
      </c>
      <c r="E2479" t="s">
        <v>120</v>
      </c>
      <c r="F2479" t="s">
        <v>121</v>
      </c>
    </row>
    <row r="2480" spans="1:10" x14ac:dyDescent="0.25">
      <c r="A2480" t="s">
        <v>1635</v>
      </c>
      <c r="B2480" t="s">
        <v>1636</v>
      </c>
    </row>
    <row r="2481" spans="1:10" x14ac:dyDescent="0.25">
      <c r="A2481" t="s">
        <v>386</v>
      </c>
    </row>
    <row r="2482" spans="1:10" x14ac:dyDescent="0.25">
      <c r="F2482" t="s">
        <v>2</v>
      </c>
      <c r="G2482" t="s">
        <v>3</v>
      </c>
      <c r="H2482" t="s">
        <v>4</v>
      </c>
      <c r="I2482" t="s">
        <v>5</v>
      </c>
      <c r="J2482" t="s">
        <v>6</v>
      </c>
    </row>
    <row r="2483" spans="1:10" x14ac:dyDescent="0.25">
      <c r="C2483" t="s">
        <v>7</v>
      </c>
      <c r="D2483" t="s">
        <v>8</v>
      </c>
      <c r="E2483" t="s">
        <v>9</v>
      </c>
      <c r="F2483" t="s">
        <v>10</v>
      </c>
      <c r="G2483" t="s">
        <v>124</v>
      </c>
      <c r="H2483" t="s">
        <v>12</v>
      </c>
      <c r="I2483" t="s">
        <v>13</v>
      </c>
      <c r="J2483" t="s">
        <v>14</v>
      </c>
    </row>
    <row r="2484" spans="1:10" x14ac:dyDescent="0.25">
      <c r="C2484" t="s">
        <v>15</v>
      </c>
      <c r="D2484" t="s">
        <v>15</v>
      </c>
      <c r="E2484" t="s">
        <v>15</v>
      </c>
      <c r="F2484" t="s">
        <v>16</v>
      </c>
      <c r="G2484" t="s">
        <v>15</v>
      </c>
      <c r="H2484" t="s">
        <v>17</v>
      </c>
      <c r="I2484" t="s">
        <v>16</v>
      </c>
      <c r="J2484" t="s">
        <v>16</v>
      </c>
    </row>
    <row r="2485" spans="1:10" x14ac:dyDescent="0.25">
      <c r="A2485" t="s">
        <v>18</v>
      </c>
      <c r="B2485" t="s">
        <v>19</v>
      </c>
      <c r="C2485" t="s">
        <v>20</v>
      </c>
      <c r="D2485" t="s">
        <v>21</v>
      </c>
      <c r="E2485" t="s">
        <v>22</v>
      </c>
      <c r="F2485" t="s">
        <v>23</v>
      </c>
      <c r="G2485" t="s">
        <v>24</v>
      </c>
      <c r="H2485" t="s">
        <v>20</v>
      </c>
      <c r="I2485" t="s">
        <v>24</v>
      </c>
      <c r="J2485" t="s">
        <v>20</v>
      </c>
    </row>
    <row r="2487" spans="1:10" x14ac:dyDescent="0.25">
      <c r="A2487" t="s">
        <v>501</v>
      </c>
    </row>
    <row r="2488" spans="1:10" x14ac:dyDescent="0.25">
      <c r="A2488" t="s">
        <v>18</v>
      </c>
    </row>
    <row r="2489" spans="1:10" x14ac:dyDescent="0.25">
      <c r="A2489" t="s">
        <v>1698</v>
      </c>
      <c r="B2489" t="s">
        <v>503</v>
      </c>
      <c r="C2489" s="2">
        <v>20807</v>
      </c>
      <c r="D2489" s="2">
        <v>25646</v>
      </c>
      <c r="E2489" s="2">
        <v>32394</v>
      </c>
      <c r="F2489" s="2">
        <v>20215</v>
      </c>
      <c r="G2489" s="2">
        <v>21319</v>
      </c>
      <c r="H2489">
        <v>0</v>
      </c>
      <c r="I2489" t="s">
        <v>22</v>
      </c>
      <c r="J2489" t="s">
        <v>22</v>
      </c>
    </row>
    <row r="2490" spans="1:10" x14ac:dyDescent="0.25">
      <c r="A2490" t="s">
        <v>1699</v>
      </c>
      <c r="B2490" t="s">
        <v>973</v>
      </c>
      <c r="C2490">
        <v>0</v>
      </c>
      <c r="D2490">
        <v>0</v>
      </c>
      <c r="E2490">
        <v>0</v>
      </c>
      <c r="F2490">
        <v>0</v>
      </c>
      <c r="G2490">
        <v>0</v>
      </c>
      <c r="H2490">
        <v>0</v>
      </c>
      <c r="I2490" t="s">
        <v>22</v>
      </c>
      <c r="J2490" t="s">
        <v>22</v>
      </c>
    </row>
    <row r="2491" spans="1:10" x14ac:dyDescent="0.25">
      <c r="A2491" t="s">
        <v>1700</v>
      </c>
      <c r="B2491" t="s">
        <v>519</v>
      </c>
      <c r="C2491">
        <v>0</v>
      </c>
      <c r="D2491">
        <v>120</v>
      </c>
      <c r="E2491">
        <v>75</v>
      </c>
      <c r="F2491">
        <v>300</v>
      </c>
      <c r="G2491">
        <v>0</v>
      </c>
      <c r="H2491">
        <v>0</v>
      </c>
      <c r="I2491" t="s">
        <v>22</v>
      </c>
      <c r="J2491" t="s">
        <v>22</v>
      </c>
    </row>
    <row r="2492" spans="1:10" x14ac:dyDescent="0.25">
      <c r="A2492" t="s">
        <v>1701</v>
      </c>
      <c r="B2492" t="s">
        <v>1702</v>
      </c>
      <c r="C2492" s="2">
        <v>60812</v>
      </c>
      <c r="D2492">
        <v>0</v>
      </c>
      <c r="E2492">
        <v>0</v>
      </c>
      <c r="F2492">
        <v>0</v>
      </c>
      <c r="G2492">
        <v>0</v>
      </c>
      <c r="H2492">
        <v>0</v>
      </c>
      <c r="I2492" t="s">
        <v>22</v>
      </c>
      <c r="J2492" t="s">
        <v>22</v>
      </c>
    </row>
    <row r="2493" spans="1:10" x14ac:dyDescent="0.25">
      <c r="C2493" t="s">
        <v>108</v>
      </c>
      <c r="D2493" t="s">
        <v>108</v>
      </c>
      <c r="E2493" t="s">
        <v>108</v>
      </c>
      <c r="F2493" t="s">
        <v>108</v>
      </c>
      <c r="G2493" t="s">
        <v>108</v>
      </c>
    </row>
    <row r="2494" spans="1:10" x14ac:dyDescent="0.25">
      <c r="H2494" t="s">
        <v>22</v>
      </c>
      <c r="I2494" t="s">
        <v>22</v>
      </c>
      <c r="J2494" t="s">
        <v>22</v>
      </c>
    </row>
    <row r="2495" spans="1:10" x14ac:dyDescent="0.25">
      <c r="A2495" t="s">
        <v>109</v>
      </c>
    </row>
    <row r="2496" spans="1:10" x14ac:dyDescent="0.25">
      <c r="B2496" t="s">
        <v>501</v>
      </c>
      <c r="C2496" s="2">
        <v>81619</v>
      </c>
      <c r="D2496" s="2">
        <v>25766</v>
      </c>
      <c r="E2496" s="2">
        <v>32468</v>
      </c>
      <c r="F2496" s="2">
        <v>20515</v>
      </c>
      <c r="G2496" s="2">
        <v>21319</v>
      </c>
      <c r="H2496">
        <v>0</v>
      </c>
    </row>
    <row r="2498" spans="1:10" x14ac:dyDescent="0.25">
      <c r="A2498" t="s">
        <v>524</v>
      </c>
      <c r="B2498" t="s">
        <v>525</v>
      </c>
    </row>
    <row r="2499" spans="1:10" x14ac:dyDescent="0.25">
      <c r="A2499" t="s">
        <v>18</v>
      </c>
      <c r="B2499" t="s">
        <v>526</v>
      </c>
    </row>
    <row r="2500" spans="1:10" x14ac:dyDescent="0.25">
      <c r="A2500" t="s">
        <v>1703</v>
      </c>
      <c r="B2500" t="s">
        <v>530</v>
      </c>
      <c r="C2500">
        <v>0</v>
      </c>
      <c r="D2500">
        <v>0</v>
      </c>
      <c r="E2500">
        <v>0</v>
      </c>
      <c r="F2500" s="2">
        <v>35025</v>
      </c>
      <c r="G2500">
        <v>0</v>
      </c>
      <c r="H2500">
        <v>0</v>
      </c>
      <c r="I2500" t="s">
        <v>22</v>
      </c>
      <c r="J2500" t="s">
        <v>22</v>
      </c>
    </row>
    <row r="2501" spans="1:10" x14ac:dyDescent="0.25">
      <c r="A2501" t="s">
        <v>1704</v>
      </c>
      <c r="B2501" t="s">
        <v>1660</v>
      </c>
      <c r="C2501">
        <v>0</v>
      </c>
      <c r="D2501">
        <v>0</v>
      </c>
      <c r="E2501">
        <v>0</v>
      </c>
      <c r="F2501">
        <v>0</v>
      </c>
      <c r="G2501">
        <v>0</v>
      </c>
      <c r="H2501">
        <v>0</v>
      </c>
      <c r="I2501" t="s">
        <v>22</v>
      </c>
      <c r="J2501" t="s">
        <v>22</v>
      </c>
    </row>
    <row r="2502" spans="1:10" x14ac:dyDescent="0.25">
      <c r="A2502" t="s">
        <v>1705</v>
      </c>
      <c r="B2502" t="s">
        <v>1634</v>
      </c>
      <c r="C2502">
        <v>0</v>
      </c>
      <c r="D2502">
        <v>0</v>
      </c>
      <c r="E2502">
        <v>0</v>
      </c>
      <c r="F2502">
        <v>0</v>
      </c>
      <c r="G2502">
        <v>0</v>
      </c>
      <c r="H2502">
        <v>0</v>
      </c>
      <c r="I2502" t="s">
        <v>22</v>
      </c>
      <c r="J2502" t="s">
        <v>22</v>
      </c>
    </row>
    <row r="2503" spans="1:10" x14ac:dyDescent="0.25">
      <c r="A2503" t="s">
        <v>1706</v>
      </c>
      <c r="B2503" t="s">
        <v>660</v>
      </c>
      <c r="C2503">
        <v>0</v>
      </c>
      <c r="D2503">
        <v>0</v>
      </c>
      <c r="E2503">
        <v>0</v>
      </c>
      <c r="F2503">
        <v>0</v>
      </c>
      <c r="G2503">
        <v>0</v>
      </c>
      <c r="H2503">
        <v>0</v>
      </c>
      <c r="I2503" t="s">
        <v>22</v>
      </c>
      <c r="J2503" t="s">
        <v>22</v>
      </c>
    </row>
    <row r="2504" spans="1:10" x14ac:dyDescent="0.25">
      <c r="A2504" t="s">
        <v>1707</v>
      </c>
      <c r="B2504" t="s">
        <v>1708</v>
      </c>
      <c r="C2504">
        <v>0</v>
      </c>
      <c r="D2504">
        <v>0</v>
      </c>
      <c r="E2504">
        <v>0</v>
      </c>
      <c r="F2504">
        <v>0</v>
      </c>
      <c r="G2504">
        <v>0</v>
      </c>
      <c r="H2504">
        <v>0</v>
      </c>
      <c r="I2504" t="s">
        <v>22</v>
      </c>
      <c r="J2504" t="s">
        <v>22</v>
      </c>
    </row>
    <row r="2505" spans="1:10" x14ac:dyDescent="0.25">
      <c r="A2505" t="s">
        <v>1709</v>
      </c>
      <c r="B2505" t="s">
        <v>1710</v>
      </c>
      <c r="C2505">
        <v>0</v>
      </c>
      <c r="D2505">
        <v>0</v>
      </c>
      <c r="E2505">
        <v>0</v>
      </c>
      <c r="F2505">
        <v>0</v>
      </c>
      <c r="G2505">
        <v>0</v>
      </c>
      <c r="H2505">
        <v>0</v>
      </c>
      <c r="I2505" t="s">
        <v>22</v>
      </c>
      <c r="J2505" t="s">
        <v>22</v>
      </c>
    </row>
    <row r="2506" spans="1:10" x14ac:dyDescent="0.25">
      <c r="A2506" t="s">
        <v>1711</v>
      </c>
      <c r="B2506" t="s">
        <v>1712</v>
      </c>
      <c r="C2506">
        <v>0</v>
      </c>
      <c r="D2506">
        <v>0</v>
      </c>
      <c r="E2506">
        <v>0</v>
      </c>
      <c r="F2506">
        <v>0</v>
      </c>
      <c r="G2506">
        <v>0</v>
      </c>
      <c r="H2506">
        <v>0</v>
      </c>
      <c r="I2506" t="s">
        <v>22</v>
      </c>
      <c r="J2506" t="s">
        <v>22</v>
      </c>
    </row>
    <row r="2507" spans="1:10" x14ac:dyDescent="0.25">
      <c r="C2507" t="s">
        <v>108</v>
      </c>
      <c r="D2507" t="s">
        <v>108</v>
      </c>
      <c r="E2507" t="s">
        <v>108</v>
      </c>
      <c r="F2507" t="s">
        <v>108</v>
      </c>
      <c r="G2507" t="s">
        <v>108</v>
      </c>
    </row>
    <row r="2508" spans="1:10" x14ac:dyDescent="0.25">
      <c r="H2508" t="s">
        <v>22</v>
      </c>
      <c r="I2508" t="s">
        <v>22</v>
      </c>
      <c r="J2508" t="s">
        <v>22</v>
      </c>
    </row>
    <row r="2509" spans="1:10" x14ac:dyDescent="0.25">
      <c r="A2509" t="s">
        <v>109</v>
      </c>
    </row>
    <row r="2510" spans="1:10" x14ac:dyDescent="0.25">
      <c r="B2510" t="s">
        <v>530</v>
      </c>
      <c r="C2510">
        <v>0</v>
      </c>
      <c r="D2510">
        <v>0</v>
      </c>
      <c r="E2510">
        <v>0</v>
      </c>
      <c r="F2510" s="2">
        <v>35025</v>
      </c>
      <c r="G2510">
        <v>0</v>
      </c>
      <c r="H2510">
        <v>0</v>
      </c>
    </row>
    <row r="2511" spans="1:10" x14ac:dyDescent="0.25">
      <c r="A2511" t="s">
        <v>18</v>
      </c>
      <c r="B2511" t="s">
        <v>19</v>
      </c>
      <c r="C2511" t="s">
        <v>20</v>
      </c>
      <c r="D2511" t="s">
        <v>21</v>
      </c>
      <c r="E2511" t="s">
        <v>26</v>
      </c>
    </row>
    <row r="2512" spans="1:10" x14ac:dyDescent="0.25">
      <c r="E2512" t="s">
        <v>339</v>
      </c>
      <c r="F2512" t="s">
        <v>23</v>
      </c>
      <c r="G2512" t="s">
        <v>24</v>
      </c>
      <c r="H2512" t="s">
        <v>20</v>
      </c>
      <c r="I2512" t="s">
        <v>24</v>
      </c>
      <c r="J2512" t="s">
        <v>20</v>
      </c>
    </row>
    <row r="2513" spans="1:10" x14ac:dyDescent="0.25">
      <c r="A2513" t="s">
        <v>109</v>
      </c>
    </row>
    <row r="2514" spans="1:10" x14ac:dyDescent="0.25">
      <c r="A2514">
        <v>40</v>
      </c>
      <c r="B2514" t="e">
        <f>-AVIATION DEPARTMENT</f>
        <v>#NAME?</v>
      </c>
      <c r="C2514" s="2">
        <v>490805</v>
      </c>
      <c r="D2514" s="2">
        <v>268958</v>
      </c>
      <c r="E2514" s="2">
        <v>306112</v>
      </c>
      <c r="F2514" s="2">
        <v>380357</v>
      </c>
      <c r="G2514" s="2">
        <v>196808</v>
      </c>
      <c r="H2514">
        <v>0</v>
      </c>
    </row>
    <row r="2515" spans="1:10" x14ac:dyDescent="0.25">
      <c r="A2515" t="s">
        <v>18</v>
      </c>
      <c r="B2515" t="s">
        <v>19</v>
      </c>
      <c r="C2515" t="s">
        <v>20</v>
      </c>
      <c r="D2515" t="s">
        <v>21</v>
      </c>
      <c r="E2515" t="s">
        <v>26</v>
      </c>
    </row>
    <row r="2516" spans="1:10" x14ac:dyDescent="0.25">
      <c r="E2516" t="s">
        <v>339</v>
      </c>
      <c r="F2516" t="s">
        <v>23</v>
      </c>
      <c r="G2516" t="s">
        <v>24</v>
      </c>
      <c r="H2516" t="s">
        <v>20</v>
      </c>
      <c r="I2516" t="s">
        <v>24</v>
      </c>
      <c r="J2516" t="s">
        <v>20</v>
      </c>
    </row>
    <row r="2518" spans="1:10" x14ac:dyDescent="0.25">
      <c r="A2518" t="s">
        <v>1609</v>
      </c>
      <c r="B2518" t="s">
        <v>1610</v>
      </c>
      <c r="C2518" s="2">
        <v>490805</v>
      </c>
      <c r="D2518" s="2">
        <v>268958</v>
      </c>
      <c r="E2518" s="2">
        <v>306112</v>
      </c>
      <c r="F2518" s="2">
        <v>380357</v>
      </c>
      <c r="G2518" s="2">
        <v>196808</v>
      </c>
      <c r="H2518">
        <v>0</v>
      </c>
    </row>
    <row r="2520" spans="1:10" x14ac:dyDescent="0.25">
      <c r="A2520" t="s">
        <v>1611</v>
      </c>
      <c r="B2520" t="s">
        <v>1612</v>
      </c>
      <c r="C2520" s="2">
        <v>-70682</v>
      </c>
      <c r="D2520" s="2">
        <v>446762</v>
      </c>
      <c r="E2520" s="2">
        <v>37373</v>
      </c>
      <c r="F2520">
        <v>-2</v>
      </c>
      <c r="G2520" s="2">
        <v>26206</v>
      </c>
      <c r="H2520">
        <v>0</v>
      </c>
    </row>
    <row r="2523" spans="1:10" x14ac:dyDescent="0.25">
      <c r="A2523" t="s">
        <v>1613</v>
      </c>
      <c r="B2523" t="s">
        <v>1614</v>
      </c>
    </row>
    <row r="2524" spans="1:10" x14ac:dyDescent="0.25">
      <c r="A2524" t="s">
        <v>110</v>
      </c>
    </row>
    <row r="2525" spans="1:10" x14ac:dyDescent="0.25">
      <c r="A2525" s="1">
        <v>43991</v>
      </c>
      <c r="B2525" t="s">
        <v>1615</v>
      </c>
      <c r="D2525" t="s">
        <v>112</v>
      </c>
      <c r="E2525" t="s">
        <v>113</v>
      </c>
      <c r="F2525" t="s">
        <v>114</v>
      </c>
      <c r="J2525" t="s">
        <v>1616</v>
      </c>
    </row>
    <row r="2526" spans="1:10" x14ac:dyDescent="0.25">
      <c r="D2526" t="s">
        <v>116</v>
      </c>
      <c r="E2526" t="s">
        <v>117</v>
      </c>
      <c r="F2526" t="s">
        <v>118</v>
      </c>
    </row>
    <row r="2527" spans="1:10" x14ac:dyDescent="0.25">
      <c r="D2527" t="s">
        <v>119</v>
      </c>
      <c r="E2527" t="s">
        <v>120</v>
      </c>
      <c r="F2527" t="s">
        <v>121</v>
      </c>
    </row>
    <row r="2528" spans="1:10" x14ac:dyDescent="0.25">
      <c r="A2528" t="s">
        <v>1713</v>
      </c>
      <c r="B2528" t="s">
        <v>1714</v>
      </c>
    </row>
    <row r="2529" spans="1:10" x14ac:dyDescent="0.25">
      <c r="A2529" t="s">
        <v>1</v>
      </c>
    </row>
    <row r="2530" spans="1:10" x14ac:dyDescent="0.25">
      <c r="F2530" t="s">
        <v>2</v>
      </c>
      <c r="G2530" t="s">
        <v>3</v>
      </c>
      <c r="H2530" t="s">
        <v>4</v>
      </c>
      <c r="I2530" t="s">
        <v>5</v>
      </c>
      <c r="J2530" t="s">
        <v>6</v>
      </c>
    </row>
    <row r="2531" spans="1:10" x14ac:dyDescent="0.25">
      <c r="C2531" t="s">
        <v>7</v>
      </c>
      <c r="D2531" t="s">
        <v>8</v>
      </c>
      <c r="E2531" t="s">
        <v>9</v>
      </c>
      <c r="F2531" t="s">
        <v>10</v>
      </c>
      <c r="G2531" t="s">
        <v>124</v>
      </c>
      <c r="H2531" t="s">
        <v>12</v>
      </c>
      <c r="I2531" t="s">
        <v>13</v>
      </c>
      <c r="J2531" t="s">
        <v>14</v>
      </c>
    </row>
    <row r="2532" spans="1:10" x14ac:dyDescent="0.25">
      <c r="C2532" t="s">
        <v>15</v>
      </c>
      <c r="D2532" t="s">
        <v>15</v>
      </c>
      <c r="E2532" t="s">
        <v>15</v>
      </c>
      <c r="F2532" t="s">
        <v>16</v>
      </c>
      <c r="G2532" t="s">
        <v>15</v>
      </c>
      <c r="H2532" t="s">
        <v>17</v>
      </c>
      <c r="I2532" t="s">
        <v>16</v>
      </c>
      <c r="J2532" t="s">
        <v>16</v>
      </c>
    </row>
    <row r="2533" spans="1:10" x14ac:dyDescent="0.25">
      <c r="A2533" t="s">
        <v>18</v>
      </c>
      <c r="B2533" t="s">
        <v>19</v>
      </c>
      <c r="C2533" t="s">
        <v>20</v>
      </c>
      <c r="D2533" t="s">
        <v>21</v>
      </c>
      <c r="E2533" t="s">
        <v>22</v>
      </c>
      <c r="F2533" t="s">
        <v>23</v>
      </c>
      <c r="G2533" t="s">
        <v>24</v>
      </c>
      <c r="H2533" t="s">
        <v>20</v>
      </c>
      <c r="I2533" t="s">
        <v>24</v>
      </c>
      <c r="J2533" t="s">
        <v>20</v>
      </c>
    </row>
    <row r="2535" spans="1:10" x14ac:dyDescent="0.25">
      <c r="A2535" t="s">
        <v>1715</v>
      </c>
      <c r="B2535" t="s">
        <v>1716</v>
      </c>
    </row>
    <row r="2536" spans="1:10" x14ac:dyDescent="0.25">
      <c r="A2536" t="s">
        <v>18</v>
      </c>
      <c r="B2536" t="s">
        <v>228</v>
      </c>
    </row>
    <row r="2537" spans="1:10" x14ac:dyDescent="0.25">
      <c r="A2537" t="s">
        <v>1717</v>
      </c>
      <c r="B2537" t="s">
        <v>1718</v>
      </c>
      <c r="C2537" s="2">
        <v>146569</v>
      </c>
      <c r="D2537" s="2">
        <v>144813</v>
      </c>
      <c r="E2537" s="2">
        <v>181203</v>
      </c>
      <c r="F2537" s="2">
        <v>180000</v>
      </c>
      <c r="G2537" s="2">
        <v>163003</v>
      </c>
      <c r="H2537">
        <v>0</v>
      </c>
      <c r="I2537" t="s">
        <v>22</v>
      </c>
      <c r="J2537" t="s">
        <v>22</v>
      </c>
    </row>
    <row r="2538" spans="1:10" x14ac:dyDescent="0.25">
      <c r="A2538" t="s">
        <v>1719</v>
      </c>
      <c r="B2538" t="s">
        <v>1720</v>
      </c>
      <c r="C2538" s="2">
        <v>25305</v>
      </c>
      <c r="D2538" s="2">
        <v>19896</v>
      </c>
      <c r="E2538" s="2">
        <v>28940</v>
      </c>
      <c r="F2538" s="2">
        <v>35000</v>
      </c>
      <c r="G2538" s="2">
        <v>19328</v>
      </c>
      <c r="H2538">
        <v>0</v>
      </c>
      <c r="I2538" t="s">
        <v>22</v>
      </c>
      <c r="J2538" t="s">
        <v>22</v>
      </c>
    </row>
    <row r="2539" spans="1:10" x14ac:dyDescent="0.25">
      <c r="A2539" t="s">
        <v>1721</v>
      </c>
      <c r="B2539" t="s">
        <v>1722</v>
      </c>
      <c r="C2539" s="2">
        <v>290741</v>
      </c>
      <c r="D2539" s="2">
        <v>181307</v>
      </c>
      <c r="E2539" s="2">
        <v>257400</v>
      </c>
      <c r="F2539" s="2">
        <v>200000</v>
      </c>
      <c r="G2539" s="2">
        <v>213829</v>
      </c>
      <c r="H2539">
        <v>0</v>
      </c>
      <c r="I2539" t="s">
        <v>22</v>
      </c>
      <c r="J2539" t="s">
        <v>22</v>
      </c>
    </row>
    <row r="2540" spans="1:10" x14ac:dyDescent="0.25">
      <c r="A2540" t="s">
        <v>53</v>
      </c>
      <c r="B2540" t="s">
        <v>1723</v>
      </c>
      <c r="C2540" s="2">
        <v>3810</v>
      </c>
      <c r="D2540" s="2">
        <v>4145</v>
      </c>
      <c r="E2540" s="2">
        <v>1320</v>
      </c>
      <c r="F2540" s="2">
        <v>2000</v>
      </c>
      <c r="G2540">
        <v>920</v>
      </c>
      <c r="H2540">
        <v>0</v>
      </c>
      <c r="I2540" t="s">
        <v>22</v>
      </c>
      <c r="J2540" t="s">
        <v>22</v>
      </c>
    </row>
    <row r="2541" spans="1:10" x14ac:dyDescent="0.25">
      <c r="A2541" t="s">
        <v>55</v>
      </c>
      <c r="B2541" t="s">
        <v>1724</v>
      </c>
      <c r="C2541" s="2">
        <v>126661</v>
      </c>
      <c r="D2541" s="2">
        <v>74739</v>
      </c>
      <c r="E2541" s="2">
        <v>95615</v>
      </c>
      <c r="F2541" s="2">
        <v>90000</v>
      </c>
      <c r="G2541" s="2">
        <v>84537</v>
      </c>
      <c r="H2541">
        <v>0</v>
      </c>
      <c r="I2541" t="s">
        <v>22</v>
      </c>
      <c r="J2541" t="s">
        <v>22</v>
      </c>
    </row>
    <row r="2542" spans="1:10" x14ac:dyDescent="0.25">
      <c r="A2542" t="s">
        <v>1725</v>
      </c>
      <c r="B2542" t="s">
        <v>1726</v>
      </c>
      <c r="C2542" s="2">
        <v>58368</v>
      </c>
      <c r="D2542" s="2">
        <v>33035</v>
      </c>
      <c r="E2542" s="2">
        <v>54867</v>
      </c>
      <c r="F2542" s="2">
        <v>60000</v>
      </c>
      <c r="G2542" s="2">
        <v>37220</v>
      </c>
      <c r="H2542">
        <v>0</v>
      </c>
      <c r="I2542" t="s">
        <v>22</v>
      </c>
      <c r="J2542" t="s">
        <v>22</v>
      </c>
    </row>
    <row r="2543" spans="1:10" x14ac:dyDescent="0.25">
      <c r="A2543" t="s">
        <v>57</v>
      </c>
      <c r="B2543" t="s">
        <v>1727</v>
      </c>
      <c r="C2543" s="2">
        <v>7604</v>
      </c>
      <c r="D2543" s="2">
        <v>8037</v>
      </c>
      <c r="E2543" s="2">
        <v>7314</v>
      </c>
      <c r="F2543" s="2">
        <v>7000</v>
      </c>
      <c r="G2543" s="2">
        <v>6461</v>
      </c>
      <c r="H2543">
        <v>0</v>
      </c>
      <c r="I2543" t="s">
        <v>22</v>
      </c>
      <c r="J2543" t="s">
        <v>22</v>
      </c>
    </row>
    <row r="2544" spans="1:10" x14ac:dyDescent="0.25">
      <c r="A2544" t="s">
        <v>1728</v>
      </c>
      <c r="B2544" t="s">
        <v>1729</v>
      </c>
      <c r="C2544">
        <v>0</v>
      </c>
      <c r="D2544">
        <v>0</v>
      </c>
      <c r="E2544">
        <v>0</v>
      </c>
      <c r="F2544" s="2">
        <v>3000</v>
      </c>
      <c r="G2544">
        <v>0</v>
      </c>
      <c r="H2544">
        <v>0</v>
      </c>
      <c r="I2544" t="s">
        <v>22</v>
      </c>
      <c r="J2544" t="s">
        <v>22</v>
      </c>
    </row>
    <row r="2545" spans="1:10" x14ac:dyDescent="0.25">
      <c r="A2545" t="s">
        <v>1730</v>
      </c>
      <c r="B2545" t="s">
        <v>1731</v>
      </c>
      <c r="C2545" s="2">
        <v>19319</v>
      </c>
      <c r="D2545" s="2">
        <v>10480</v>
      </c>
      <c r="E2545">
        <v>520</v>
      </c>
      <c r="F2545" s="2">
        <v>3000</v>
      </c>
      <c r="G2545">
        <v>0</v>
      </c>
      <c r="H2545">
        <v>0</v>
      </c>
      <c r="I2545" t="s">
        <v>22</v>
      </c>
      <c r="J2545" t="s">
        <v>22</v>
      </c>
    </row>
    <row r="2546" spans="1:10" x14ac:dyDescent="0.25">
      <c r="A2546" t="s">
        <v>1732</v>
      </c>
      <c r="B2546" t="s">
        <v>1733</v>
      </c>
      <c r="C2546">
        <v>0</v>
      </c>
      <c r="D2546">
        <v>0</v>
      </c>
      <c r="E2546">
        <v>0</v>
      </c>
      <c r="F2546">
        <v>0</v>
      </c>
      <c r="G2546">
        <v>0</v>
      </c>
      <c r="H2546">
        <v>0</v>
      </c>
      <c r="I2546" t="s">
        <v>22</v>
      </c>
      <c r="J2546" t="s">
        <v>22</v>
      </c>
    </row>
    <row r="2547" spans="1:10" x14ac:dyDescent="0.25">
      <c r="A2547" t="s">
        <v>59</v>
      </c>
      <c r="B2547" t="s">
        <v>77</v>
      </c>
      <c r="C2547" s="2">
        <v>55155</v>
      </c>
      <c r="D2547" s="2">
        <v>9713</v>
      </c>
      <c r="E2547" s="2">
        <v>15403</v>
      </c>
      <c r="F2547" s="2">
        <v>8500</v>
      </c>
      <c r="G2547" s="2">
        <v>5992</v>
      </c>
      <c r="H2547">
        <v>0</v>
      </c>
      <c r="I2547" t="s">
        <v>22</v>
      </c>
      <c r="J2547" t="s">
        <v>22</v>
      </c>
    </row>
    <row r="2548" spans="1:10" x14ac:dyDescent="0.25">
      <c r="A2548" t="s">
        <v>1734</v>
      </c>
      <c r="B2548" t="s">
        <v>1660</v>
      </c>
      <c r="C2548">
        <v>0</v>
      </c>
      <c r="D2548">
        <v>0</v>
      </c>
      <c r="E2548">
        <v>0</v>
      </c>
      <c r="F2548">
        <v>0</v>
      </c>
      <c r="G2548">
        <v>0</v>
      </c>
      <c r="H2548">
        <v>0</v>
      </c>
      <c r="I2548" t="s">
        <v>22</v>
      </c>
      <c r="J2548" t="s">
        <v>22</v>
      </c>
    </row>
    <row r="2549" spans="1:10" x14ac:dyDescent="0.25">
      <c r="A2549" t="s">
        <v>76</v>
      </c>
      <c r="B2549" t="s">
        <v>79</v>
      </c>
      <c r="C2549" s="2">
        <v>-1739</v>
      </c>
      <c r="D2549" t="s">
        <v>1735</v>
      </c>
      <c r="E2549" t="s">
        <v>1736</v>
      </c>
      <c r="F2549">
        <v>0</v>
      </c>
      <c r="G2549" s="2">
        <v>-1637</v>
      </c>
      <c r="H2549">
        <v>0</v>
      </c>
      <c r="I2549" t="s">
        <v>22</v>
      </c>
      <c r="J2549" t="s">
        <v>22</v>
      </c>
    </row>
    <row r="2550" spans="1:10" x14ac:dyDescent="0.25">
      <c r="A2550" t="s">
        <v>1737</v>
      </c>
      <c r="B2550" t="s">
        <v>1738</v>
      </c>
      <c r="C2550">
        <v>0</v>
      </c>
      <c r="D2550">
        <v>0</v>
      </c>
      <c r="E2550" s="2">
        <v>13593</v>
      </c>
      <c r="F2550">
        <v>0</v>
      </c>
      <c r="G2550" s="2">
        <v>13579</v>
      </c>
      <c r="H2550">
        <v>0</v>
      </c>
      <c r="I2550" t="s">
        <v>22</v>
      </c>
      <c r="J2550" t="s">
        <v>22</v>
      </c>
    </row>
    <row r="2551" spans="1:10" x14ac:dyDescent="0.25">
      <c r="A2551" t="s">
        <v>1739</v>
      </c>
      <c r="B2551" t="s">
        <v>1733</v>
      </c>
      <c r="C2551">
        <v>0</v>
      </c>
      <c r="D2551">
        <v>0</v>
      </c>
      <c r="E2551">
        <v>0</v>
      </c>
      <c r="F2551">
        <v>0</v>
      </c>
      <c r="G2551">
        <v>0</v>
      </c>
      <c r="H2551">
        <v>0</v>
      </c>
      <c r="I2551" t="s">
        <v>22</v>
      </c>
      <c r="J2551" t="s">
        <v>22</v>
      </c>
    </row>
    <row r="2552" spans="1:10" x14ac:dyDescent="0.25">
      <c r="A2552" t="s">
        <v>1740</v>
      </c>
      <c r="B2552" t="s">
        <v>1741</v>
      </c>
      <c r="C2552">
        <v>0</v>
      </c>
      <c r="D2552">
        <v>0</v>
      </c>
      <c r="E2552">
        <v>0</v>
      </c>
      <c r="F2552">
        <v>0</v>
      </c>
      <c r="G2552">
        <v>0</v>
      </c>
      <c r="H2552">
        <v>0</v>
      </c>
      <c r="I2552" t="s">
        <v>22</v>
      </c>
      <c r="J2552" t="s">
        <v>22</v>
      </c>
    </row>
    <row r="2553" spans="1:10" x14ac:dyDescent="0.25">
      <c r="A2553" t="s">
        <v>102</v>
      </c>
      <c r="B2553" t="s">
        <v>1742</v>
      </c>
      <c r="C2553" s="2">
        <v>438694</v>
      </c>
      <c r="D2553" s="2">
        <v>800000</v>
      </c>
      <c r="E2553" s="2">
        <v>800000</v>
      </c>
      <c r="F2553" s="2">
        <v>970519</v>
      </c>
      <c r="G2553">
        <v>0</v>
      </c>
      <c r="H2553">
        <v>0</v>
      </c>
      <c r="I2553" t="s">
        <v>22</v>
      </c>
      <c r="J2553" t="s">
        <v>22</v>
      </c>
    </row>
    <row r="2554" spans="1:10" x14ac:dyDescent="0.25">
      <c r="A2554" t="s">
        <v>1743</v>
      </c>
      <c r="B2554" t="s">
        <v>1744</v>
      </c>
      <c r="C2554">
        <v>0</v>
      </c>
      <c r="D2554">
        <v>0</v>
      </c>
      <c r="E2554">
        <v>0</v>
      </c>
      <c r="F2554">
        <v>0</v>
      </c>
      <c r="G2554">
        <v>0</v>
      </c>
      <c r="H2554">
        <v>0</v>
      </c>
      <c r="I2554" t="s">
        <v>22</v>
      </c>
      <c r="J2554" t="s">
        <v>22</v>
      </c>
    </row>
    <row r="2555" spans="1:10" x14ac:dyDescent="0.25">
      <c r="A2555" t="s">
        <v>1745</v>
      </c>
      <c r="B2555" t="s">
        <v>1746</v>
      </c>
      <c r="C2555">
        <v>0</v>
      </c>
      <c r="D2555">
        <v>0</v>
      </c>
      <c r="E2555">
        <v>0</v>
      </c>
      <c r="F2555">
        <v>0</v>
      </c>
      <c r="G2555">
        <v>0</v>
      </c>
      <c r="H2555">
        <v>0</v>
      </c>
      <c r="I2555" t="s">
        <v>22</v>
      </c>
      <c r="J2555" t="s">
        <v>22</v>
      </c>
    </row>
    <row r="2556" spans="1:10" x14ac:dyDescent="0.25">
      <c r="C2556" t="s">
        <v>108</v>
      </c>
      <c r="D2556" t="s">
        <v>108</v>
      </c>
      <c r="E2556" t="s">
        <v>108</v>
      </c>
      <c r="F2556" t="s">
        <v>108</v>
      </c>
      <c r="G2556" t="s">
        <v>108</v>
      </c>
    </row>
    <row r="2557" spans="1:10" x14ac:dyDescent="0.25">
      <c r="H2557" t="s">
        <v>22</v>
      </c>
      <c r="I2557" t="s">
        <v>22</v>
      </c>
      <c r="J2557" t="s">
        <v>22</v>
      </c>
    </row>
    <row r="2558" spans="1:10" x14ac:dyDescent="0.25">
      <c r="A2558" t="s">
        <v>109</v>
      </c>
    </row>
    <row r="2559" spans="1:10" x14ac:dyDescent="0.25">
      <c r="B2559" t="s">
        <v>1747</v>
      </c>
      <c r="C2559" s="2">
        <v>1170488</v>
      </c>
      <c r="D2559" s="2">
        <v>1285234</v>
      </c>
      <c r="E2559" s="2">
        <v>1453671</v>
      </c>
      <c r="F2559" s="2">
        <v>1559019</v>
      </c>
      <c r="G2559" s="2">
        <v>543231</v>
      </c>
      <c r="H2559">
        <v>0</v>
      </c>
    </row>
    <row r="2561" spans="1:10" x14ac:dyDescent="0.25">
      <c r="A2561" t="s">
        <v>1748</v>
      </c>
      <c r="B2561" t="s">
        <v>1749</v>
      </c>
    </row>
    <row r="2562" spans="1:10" x14ac:dyDescent="0.25">
      <c r="A2562" t="s">
        <v>18</v>
      </c>
      <c r="B2562" t="s">
        <v>108</v>
      </c>
    </row>
    <row r="2563" spans="1:10" x14ac:dyDescent="0.25">
      <c r="A2563" t="s">
        <v>1750</v>
      </c>
      <c r="B2563" t="s">
        <v>1751</v>
      </c>
      <c r="C2563">
        <v>0</v>
      </c>
      <c r="D2563">
        <v>0</v>
      </c>
      <c r="E2563">
        <v>0</v>
      </c>
      <c r="F2563">
        <v>0</v>
      </c>
      <c r="G2563">
        <v>0</v>
      </c>
      <c r="H2563">
        <v>0</v>
      </c>
      <c r="I2563" t="s">
        <v>22</v>
      </c>
      <c r="J2563" t="s">
        <v>22</v>
      </c>
    </row>
    <row r="2564" spans="1:10" x14ac:dyDescent="0.25">
      <c r="A2564" t="s">
        <v>1752</v>
      </c>
      <c r="B2564" t="s">
        <v>1753</v>
      </c>
      <c r="C2564">
        <v>0</v>
      </c>
      <c r="D2564">
        <v>0</v>
      </c>
      <c r="E2564">
        <v>0</v>
      </c>
      <c r="F2564">
        <v>0</v>
      </c>
      <c r="G2564">
        <v>18</v>
      </c>
      <c r="H2564">
        <v>0</v>
      </c>
      <c r="I2564" t="s">
        <v>22</v>
      </c>
      <c r="J2564" t="s">
        <v>22</v>
      </c>
    </row>
    <row r="2565" spans="1:10" x14ac:dyDescent="0.25">
      <c r="A2565" t="s">
        <v>1754</v>
      </c>
      <c r="B2565" t="s">
        <v>1755</v>
      </c>
      <c r="C2565">
        <v>0</v>
      </c>
      <c r="D2565">
        <v>0</v>
      </c>
      <c r="E2565">
        <v>0</v>
      </c>
      <c r="F2565">
        <v>0</v>
      </c>
      <c r="G2565">
        <v>0</v>
      </c>
      <c r="H2565">
        <v>0</v>
      </c>
      <c r="I2565" t="s">
        <v>22</v>
      </c>
      <c r="J2565" t="s">
        <v>22</v>
      </c>
    </row>
    <row r="2566" spans="1:10" x14ac:dyDescent="0.25">
      <c r="A2566" t="s">
        <v>1756</v>
      </c>
      <c r="B2566" t="s">
        <v>1757</v>
      </c>
      <c r="C2566">
        <v>0</v>
      </c>
      <c r="D2566">
        <v>0</v>
      </c>
      <c r="E2566">
        <v>0</v>
      </c>
      <c r="F2566">
        <v>0</v>
      </c>
      <c r="G2566">
        <v>0</v>
      </c>
      <c r="H2566">
        <v>0</v>
      </c>
      <c r="I2566" t="s">
        <v>22</v>
      </c>
      <c r="J2566" t="s">
        <v>22</v>
      </c>
    </row>
    <row r="2567" spans="1:10" x14ac:dyDescent="0.25">
      <c r="A2567" t="s">
        <v>1758</v>
      </c>
      <c r="B2567" t="s">
        <v>1759</v>
      </c>
      <c r="C2567" s="2">
        <v>34200</v>
      </c>
      <c r="D2567" s="2">
        <v>34250</v>
      </c>
      <c r="E2567" s="2">
        <v>34200</v>
      </c>
      <c r="F2567" s="2">
        <v>34200</v>
      </c>
      <c r="G2567" s="2">
        <v>22800</v>
      </c>
      <c r="H2567">
        <v>0</v>
      </c>
      <c r="I2567" t="s">
        <v>22</v>
      </c>
      <c r="J2567" t="s">
        <v>22</v>
      </c>
    </row>
    <row r="2568" spans="1:10" x14ac:dyDescent="0.25">
      <c r="A2568" t="s">
        <v>277</v>
      </c>
      <c r="B2568" t="s">
        <v>1760</v>
      </c>
      <c r="C2568">
        <v>0</v>
      </c>
      <c r="D2568">
        <v>0</v>
      </c>
      <c r="E2568">
        <v>0</v>
      </c>
      <c r="F2568">
        <v>0</v>
      </c>
      <c r="G2568">
        <v>0</v>
      </c>
      <c r="H2568">
        <v>0</v>
      </c>
      <c r="I2568" t="s">
        <v>22</v>
      </c>
      <c r="J2568" t="s">
        <v>22</v>
      </c>
    </row>
    <row r="2569" spans="1:10" x14ac:dyDescent="0.25">
      <c r="C2569" t="s">
        <v>108</v>
      </c>
      <c r="D2569" t="s">
        <v>108</v>
      </c>
      <c r="E2569" t="s">
        <v>108</v>
      </c>
      <c r="F2569" t="s">
        <v>108</v>
      </c>
      <c r="G2569" t="s">
        <v>108</v>
      </c>
    </row>
    <row r="2570" spans="1:10" x14ac:dyDescent="0.25">
      <c r="H2570" t="s">
        <v>22</v>
      </c>
      <c r="I2570" t="s">
        <v>22</v>
      </c>
      <c r="J2570" t="s">
        <v>22</v>
      </c>
    </row>
    <row r="2571" spans="1:10" x14ac:dyDescent="0.25">
      <c r="A2571" t="s">
        <v>109</v>
      </c>
    </row>
    <row r="2572" spans="1:10" x14ac:dyDescent="0.25">
      <c r="B2572" t="s">
        <v>1761</v>
      </c>
      <c r="C2572" s="2">
        <v>34200</v>
      </c>
      <c r="D2572" s="2">
        <v>34250</v>
      </c>
      <c r="E2572" s="2">
        <v>34200</v>
      </c>
      <c r="F2572" s="2">
        <v>34200</v>
      </c>
      <c r="G2572" s="2">
        <v>22818</v>
      </c>
      <c r="H2572">
        <v>0</v>
      </c>
    </row>
    <row r="2574" spans="1:10" x14ac:dyDescent="0.25">
      <c r="A2574" t="s">
        <v>1762</v>
      </c>
      <c r="B2574" t="s">
        <v>1763</v>
      </c>
    </row>
    <row r="2575" spans="1:10" x14ac:dyDescent="0.25">
      <c r="A2575" t="s">
        <v>18</v>
      </c>
      <c r="B2575" t="s">
        <v>24</v>
      </c>
    </row>
    <row r="2576" spans="1:10" x14ac:dyDescent="0.25">
      <c r="A2576" t="s">
        <v>297</v>
      </c>
      <c r="B2576" t="s">
        <v>298</v>
      </c>
      <c r="C2576">
        <v>0</v>
      </c>
      <c r="D2576">
        <v>0</v>
      </c>
      <c r="E2576">
        <v>0</v>
      </c>
      <c r="F2576">
        <v>0</v>
      </c>
      <c r="G2576">
        <v>0</v>
      </c>
      <c r="H2576">
        <v>0</v>
      </c>
      <c r="I2576" t="s">
        <v>22</v>
      </c>
      <c r="J2576" t="s">
        <v>22</v>
      </c>
    </row>
    <row r="2577" spans="1:10" x14ac:dyDescent="0.25">
      <c r="A2577" t="s">
        <v>1764</v>
      </c>
      <c r="B2577" t="s">
        <v>1765</v>
      </c>
      <c r="C2577">
        <v>0</v>
      </c>
      <c r="D2577">
        <v>0</v>
      </c>
      <c r="E2577">
        <v>0</v>
      </c>
      <c r="F2577">
        <v>0</v>
      </c>
      <c r="G2577">
        <v>0</v>
      </c>
      <c r="H2577">
        <v>0</v>
      </c>
      <c r="I2577" t="s">
        <v>22</v>
      </c>
      <c r="J2577" t="s">
        <v>22</v>
      </c>
    </row>
    <row r="2578" spans="1:10" x14ac:dyDescent="0.25">
      <c r="C2578" t="s">
        <v>108</v>
      </c>
      <c r="D2578" t="s">
        <v>108</v>
      </c>
      <c r="E2578" t="s">
        <v>108</v>
      </c>
      <c r="F2578" t="s">
        <v>108</v>
      </c>
      <c r="G2578" t="s">
        <v>108</v>
      </c>
    </row>
    <row r="2579" spans="1:10" x14ac:dyDescent="0.25">
      <c r="H2579" t="s">
        <v>22</v>
      </c>
      <c r="I2579" t="s">
        <v>22</v>
      </c>
      <c r="J2579" t="s">
        <v>22</v>
      </c>
    </row>
    <row r="2580" spans="1:10" x14ac:dyDescent="0.25">
      <c r="A2580" t="s">
        <v>109</v>
      </c>
    </row>
    <row r="2581" spans="1:10" x14ac:dyDescent="0.25">
      <c r="B2581" t="s">
        <v>1766</v>
      </c>
      <c r="C2581">
        <v>0</v>
      </c>
      <c r="D2581">
        <v>0</v>
      </c>
      <c r="E2581">
        <v>0</v>
      </c>
      <c r="F2581">
        <v>0</v>
      </c>
      <c r="G2581">
        <v>0</v>
      </c>
      <c r="H2581">
        <v>0</v>
      </c>
    </row>
    <row r="2583" spans="1:10" x14ac:dyDescent="0.25">
      <c r="A2583" t="s">
        <v>1767</v>
      </c>
      <c r="B2583" t="s">
        <v>1716</v>
      </c>
    </row>
    <row r="2584" spans="1:10" x14ac:dyDescent="0.25">
      <c r="A2584" t="s">
        <v>18</v>
      </c>
      <c r="B2584" t="s">
        <v>228</v>
      </c>
    </row>
    <row r="2585" spans="1:10" x14ac:dyDescent="0.25">
      <c r="A2585" t="s">
        <v>1768</v>
      </c>
      <c r="B2585" t="s">
        <v>1718</v>
      </c>
      <c r="C2585">
        <v>0</v>
      </c>
      <c r="D2585">
        <v>0</v>
      </c>
      <c r="E2585">
        <v>0</v>
      </c>
      <c r="F2585">
        <v>0</v>
      </c>
      <c r="G2585">
        <v>0</v>
      </c>
      <c r="H2585">
        <v>0</v>
      </c>
      <c r="I2585" t="s">
        <v>22</v>
      </c>
      <c r="J2585" t="s">
        <v>22</v>
      </c>
    </row>
    <row r="2586" spans="1:10" x14ac:dyDescent="0.25">
      <c r="A2586" t="s">
        <v>1769</v>
      </c>
      <c r="B2586" t="s">
        <v>1720</v>
      </c>
      <c r="C2586">
        <v>0</v>
      </c>
      <c r="D2586">
        <v>0</v>
      </c>
      <c r="E2586">
        <v>0</v>
      </c>
      <c r="F2586">
        <v>0</v>
      </c>
      <c r="G2586">
        <v>0</v>
      </c>
      <c r="H2586">
        <v>0</v>
      </c>
      <c r="I2586" t="s">
        <v>22</v>
      </c>
      <c r="J2586" t="s">
        <v>22</v>
      </c>
    </row>
    <row r="2587" spans="1:10" x14ac:dyDescent="0.25">
      <c r="A2587" t="s">
        <v>1770</v>
      </c>
      <c r="B2587" t="s">
        <v>1771</v>
      </c>
      <c r="C2587">
        <v>0</v>
      </c>
      <c r="D2587">
        <v>0</v>
      </c>
      <c r="E2587">
        <v>0</v>
      </c>
      <c r="F2587">
        <v>0</v>
      </c>
      <c r="G2587">
        <v>0</v>
      </c>
      <c r="H2587">
        <v>0</v>
      </c>
      <c r="I2587" t="s">
        <v>22</v>
      </c>
      <c r="J2587" t="s">
        <v>22</v>
      </c>
    </row>
    <row r="2588" spans="1:10" x14ac:dyDescent="0.25">
      <c r="A2588" t="s">
        <v>1772</v>
      </c>
      <c r="B2588" t="s">
        <v>1723</v>
      </c>
      <c r="C2588">
        <v>0</v>
      </c>
      <c r="D2588">
        <v>0</v>
      </c>
      <c r="E2588">
        <v>0</v>
      </c>
      <c r="F2588">
        <v>0</v>
      </c>
      <c r="G2588">
        <v>0</v>
      </c>
      <c r="H2588">
        <v>0</v>
      </c>
      <c r="I2588" t="s">
        <v>22</v>
      </c>
      <c r="J2588" t="s">
        <v>22</v>
      </c>
    </row>
    <row r="2589" spans="1:10" x14ac:dyDescent="0.25">
      <c r="A2589" t="s">
        <v>1773</v>
      </c>
      <c r="B2589" t="s">
        <v>1724</v>
      </c>
      <c r="C2589">
        <v>0</v>
      </c>
      <c r="D2589">
        <v>0</v>
      </c>
      <c r="E2589">
        <v>0</v>
      </c>
      <c r="F2589">
        <v>0</v>
      </c>
      <c r="G2589">
        <v>0</v>
      </c>
      <c r="H2589">
        <v>0</v>
      </c>
      <c r="I2589" t="s">
        <v>22</v>
      </c>
      <c r="J2589" t="s">
        <v>22</v>
      </c>
    </row>
    <row r="2590" spans="1:10" x14ac:dyDescent="0.25">
      <c r="A2590" t="s">
        <v>1774</v>
      </c>
      <c r="B2590" t="s">
        <v>1775</v>
      </c>
      <c r="C2590">
        <v>0</v>
      </c>
      <c r="D2590">
        <v>0</v>
      </c>
      <c r="E2590">
        <v>0</v>
      </c>
      <c r="F2590">
        <v>0</v>
      </c>
      <c r="G2590">
        <v>0</v>
      </c>
      <c r="H2590">
        <v>0</v>
      </c>
      <c r="I2590" t="s">
        <v>22</v>
      </c>
      <c r="J2590" t="s">
        <v>22</v>
      </c>
    </row>
    <row r="2591" spans="1:10" x14ac:dyDescent="0.25">
      <c r="A2591" t="s">
        <v>1776</v>
      </c>
      <c r="B2591" t="s">
        <v>1727</v>
      </c>
      <c r="C2591">
        <v>0</v>
      </c>
      <c r="D2591">
        <v>0</v>
      </c>
      <c r="E2591">
        <v>0</v>
      </c>
      <c r="F2591">
        <v>0</v>
      </c>
      <c r="G2591">
        <v>0</v>
      </c>
      <c r="H2591">
        <v>0</v>
      </c>
      <c r="I2591" t="s">
        <v>22</v>
      </c>
      <c r="J2591" t="s">
        <v>22</v>
      </c>
    </row>
    <row r="2592" spans="1:10" x14ac:dyDescent="0.25">
      <c r="A2592" t="s">
        <v>1777</v>
      </c>
      <c r="B2592" t="s">
        <v>1778</v>
      </c>
      <c r="C2592">
        <v>0</v>
      </c>
      <c r="D2592">
        <v>0</v>
      </c>
      <c r="E2592">
        <v>0</v>
      </c>
      <c r="F2592">
        <v>0</v>
      </c>
      <c r="G2592">
        <v>0</v>
      </c>
      <c r="H2592">
        <v>0</v>
      </c>
      <c r="I2592" t="s">
        <v>22</v>
      </c>
      <c r="J2592" t="s">
        <v>22</v>
      </c>
    </row>
    <row r="2593" spans="1:10" x14ac:dyDescent="0.25">
      <c r="A2593" t="s">
        <v>1779</v>
      </c>
      <c r="B2593" t="s">
        <v>1780</v>
      </c>
      <c r="C2593">
        <v>0</v>
      </c>
      <c r="D2593">
        <v>0</v>
      </c>
      <c r="E2593">
        <v>0</v>
      </c>
      <c r="F2593">
        <v>0</v>
      </c>
      <c r="G2593">
        <v>0</v>
      </c>
      <c r="H2593">
        <v>0</v>
      </c>
      <c r="I2593" t="s">
        <v>22</v>
      </c>
      <c r="J2593" t="s">
        <v>22</v>
      </c>
    </row>
    <row r="2594" spans="1:10" x14ac:dyDescent="0.25">
      <c r="A2594" t="s">
        <v>1781</v>
      </c>
      <c r="B2594" t="s">
        <v>77</v>
      </c>
      <c r="C2594">
        <v>0</v>
      </c>
      <c r="D2594">
        <v>0</v>
      </c>
      <c r="E2594">
        <v>0</v>
      </c>
      <c r="F2594">
        <v>0</v>
      </c>
      <c r="G2594">
        <v>0</v>
      </c>
      <c r="H2594">
        <v>0</v>
      </c>
      <c r="I2594" t="s">
        <v>22</v>
      </c>
      <c r="J2594" t="s">
        <v>22</v>
      </c>
    </row>
    <row r="2595" spans="1:10" x14ac:dyDescent="0.25">
      <c r="A2595" t="s">
        <v>1782</v>
      </c>
      <c r="B2595" t="s">
        <v>1660</v>
      </c>
      <c r="C2595">
        <v>0</v>
      </c>
      <c r="D2595">
        <v>0</v>
      </c>
      <c r="E2595">
        <v>0</v>
      </c>
      <c r="F2595">
        <v>0</v>
      </c>
      <c r="G2595">
        <v>0</v>
      </c>
      <c r="H2595">
        <v>0</v>
      </c>
      <c r="I2595" t="s">
        <v>22</v>
      </c>
      <c r="J2595" t="s">
        <v>22</v>
      </c>
    </row>
    <row r="2596" spans="1:10" x14ac:dyDescent="0.25">
      <c r="A2596" t="s">
        <v>1783</v>
      </c>
      <c r="B2596" t="s">
        <v>79</v>
      </c>
      <c r="C2596">
        <v>0</v>
      </c>
      <c r="D2596">
        <v>0</v>
      </c>
      <c r="E2596">
        <v>0</v>
      </c>
      <c r="F2596">
        <v>0</v>
      </c>
      <c r="G2596">
        <v>0</v>
      </c>
      <c r="H2596">
        <v>0</v>
      </c>
      <c r="I2596" t="s">
        <v>22</v>
      </c>
      <c r="J2596" t="s">
        <v>22</v>
      </c>
    </row>
    <row r="2597" spans="1:10" x14ac:dyDescent="0.25">
      <c r="A2597" t="s">
        <v>110</v>
      </c>
    </row>
    <row r="2598" spans="1:10" x14ac:dyDescent="0.25">
      <c r="A2598" s="1">
        <v>43991</v>
      </c>
      <c r="B2598" t="s">
        <v>1615</v>
      </c>
      <c r="D2598" t="s">
        <v>112</v>
      </c>
      <c r="E2598" t="s">
        <v>113</v>
      </c>
      <c r="F2598" t="s">
        <v>114</v>
      </c>
      <c r="J2598" t="s">
        <v>115</v>
      </c>
    </row>
    <row r="2599" spans="1:10" x14ac:dyDescent="0.25">
      <c r="D2599" t="s">
        <v>116</v>
      </c>
      <c r="E2599" t="s">
        <v>117</v>
      </c>
      <c r="F2599" t="s">
        <v>118</v>
      </c>
    </row>
    <row r="2600" spans="1:10" x14ac:dyDescent="0.25">
      <c r="D2600" t="s">
        <v>119</v>
      </c>
      <c r="E2600" t="s">
        <v>120</v>
      </c>
      <c r="F2600" t="s">
        <v>121</v>
      </c>
    </row>
    <row r="2601" spans="1:10" x14ac:dyDescent="0.25">
      <c r="A2601" t="s">
        <v>1713</v>
      </c>
      <c r="B2601" t="s">
        <v>1714</v>
      </c>
    </row>
    <row r="2602" spans="1:10" x14ac:dyDescent="0.25">
      <c r="A2602" t="s">
        <v>1</v>
      </c>
    </row>
    <row r="2603" spans="1:10" x14ac:dyDescent="0.25">
      <c r="F2603" t="s">
        <v>2</v>
      </c>
      <c r="G2603" t="s">
        <v>3</v>
      </c>
      <c r="H2603" t="s">
        <v>4</v>
      </c>
      <c r="I2603" t="s">
        <v>5</v>
      </c>
      <c r="J2603" t="s">
        <v>6</v>
      </c>
    </row>
    <row r="2604" spans="1:10" x14ac:dyDescent="0.25">
      <c r="C2604" t="s">
        <v>7</v>
      </c>
      <c r="D2604" t="s">
        <v>8</v>
      </c>
      <c r="E2604" t="s">
        <v>9</v>
      </c>
      <c r="F2604" t="s">
        <v>10</v>
      </c>
      <c r="G2604" t="s">
        <v>124</v>
      </c>
      <c r="H2604" t="s">
        <v>12</v>
      </c>
      <c r="I2604" t="s">
        <v>13</v>
      </c>
      <c r="J2604" t="s">
        <v>14</v>
      </c>
    </row>
    <row r="2605" spans="1:10" x14ac:dyDescent="0.25">
      <c r="C2605" t="s">
        <v>15</v>
      </c>
      <c r="D2605" t="s">
        <v>15</v>
      </c>
      <c r="E2605" t="s">
        <v>15</v>
      </c>
      <c r="F2605" t="s">
        <v>16</v>
      </c>
      <c r="G2605" t="s">
        <v>15</v>
      </c>
      <c r="H2605" t="s">
        <v>17</v>
      </c>
      <c r="I2605" t="s">
        <v>16</v>
      </c>
      <c r="J2605" t="s">
        <v>16</v>
      </c>
    </row>
    <row r="2606" spans="1:10" x14ac:dyDescent="0.25">
      <c r="A2606" t="s">
        <v>18</v>
      </c>
      <c r="B2606" t="s">
        <v>19</v>
      </c>
      <c r="C2606" t="s">
        <v>20</v>
      </c>
      <c r="D2606" t="s">
        <v>21</v>
      </c>
      <c r="E2606" t="s">
        <v>22</v>
      </c>
      <c r="F2606" t="s">
        <v>23</v>
      </c>
      <c r="G2606" t="s">
        <v>24</v>
      </c>
      <c r="H2606" t="s">
        <v>20</v>
      </c>
      <c r="I2606" t="s">
        <v>24</v>
      </c>
      <c r="J2606" t="s">
        <v>20</v>
      </c>
    </row>
    <row r="2607" spans="1:10" x14ac:dyDescent="0.25">
      <c r="A2607" t="s">
        <v>1784</v>
      </c>
      <c r="B2607" t="s">
        <v>156</v>
      </c>
      <c r="C2607">
        <v>0</v>
      </c>
      <c r="D2607">
        <v>0</v>
      </c>
      <c r="E2607">
        <v>0</v>
      </c>
      <c r="F2607">
        <v>0</v>
      </c>
      <c r="G2607">
        <v>0</v>
      </c>
      <c r="H2607">
        <v>0</v>
      </c>
      <c r="I2607" t="s">
        <v>22</v>
      </c>
      <c r="J2607" t="s">
        <v>22</v>
      </c>
    </row>
    <row r="2608" spans="1:10" x14ac:dyDescent="0.25">
      <c r="A2608" t="s">
        <v>1657</v>
      </c>
      <c r="B2608" t="s">
        <v>1742</v>
      </c>
      <c r="C2608">
        <v>0</v>
      </c>
      <c r="D2608">
        <v>0</v>
      </c>
      <c r="E2608">
        <v>0</v>
      </c>
      <c r="F2608">
        <v>0</v>
      </c>
      <c r="G2608">
        <v>0</v>
      </c>
      <c r="H2608">
        <v>0</v>
      </c>
      <c r="I2608" t="s">
        <v>22</v>
      </c>
      <c r="J2608" t="s">
        <v>22</v>
      </c>
    </row>
    <row r="2609" spans="1:10" x14ac:dyDescent="0.25">
      <c r="A2609" t="s">
        <v>1785</v>
      </c>
      <c r="B2609" t="s">
        <v>1744</v>
      </c>
      <c r="C2609">
        <v>0</v>
      </c>
      <c r="D2609">
        <v>0</v>
      </c>
      <c r="E2609">
        <v>0</v>
      </c>
      <c r="F2609">
        <v>0</v>
      </c>
      <c r="G2609">
        <v>0</v>
      </c>
      <c r="H2609">
        <v>0</v>
      </c>
      <c r="I2609" t="s">
        <v>22</v>
      </c>
      <c r="J2609" t="s">
        <v>22</v>
      </c>
    </row>
    <row r="2610" spans="1:10" x14ac:dyDescent="0.25">
      <c r="C2610" t="s">
        <v>108</v>
      </c>
      <c r="D2610" t="s">
        <v>108</v>
      </c>
      <c r="E2610" t="s">
        <v>108</v>
      </c>
      <c r="F2610" t="s">
        <v>108</v>
      </c>
      <c r="G2610" t="s">
        <v>108</v>
      </c>
    </row>
    <row r="2611" spans="1:10" x14ac:dyDescent="0.25">
      <c r="H2611" t="s">
        <v>22</v>
      </c>
      <c r="I2611" t="s">
        <v>22</v>
      </c>
      <c r="J2611" t="s">
        <v>22</v>
      </c>
    </row>
    <row r="2612" spans="1:10" x14ac:dyDescent="0.25">
      <c r="A2612" t="s">
        <v>109</v>
      </c>
    </row>
    <row r="2613" spans="1:10" x14ac:dyDescent="0.25">
      <c r="B2613" t="s">
        <v>1786</v>
      </c>
      <c r="C2613">
        <v>0</v>
      </c>
      <c r="D2613">
        <v>0</v>
      </c>
      <c r="E2613">
        <v>0</v>
      </c>
      <c r="F2613">
        <v>0</v>
      </c>
      <c r="G2613">
        <v>0</v>
      </c>
      <c r="H2613">
        <v>0</v>
      </c>
    </row>
    <row r="2615" spans="1:10" x14ac:dyDescent="0.25">
      <c r="A2615" t="s">
        <v>1787</v>
      </c>
      <c r="B2615" t="s">
        <v>1749</v>
      </c>
    </row>
    <row r="2616" spans="1:10" x14ac:dyDescent="0.25">
      <c r="A2616" t="s">
        <v>18</v>
      </c>
      <c r="B2616" t="s">
        <v>108</v>
      </c>
    </row>
    <row r="2617" spans="1:10" x14ac:dyDescent="0.25">
      <c r="A2617" t="s">
        <v>1788</v>
      </c>
      <c r="B2617" t="s">
        <v>1751</v>
      </c>
      <c r="C2617">
        <v>0</v>
      </c>
      <c r="D2617">
        <v>0</v>
      </c>
      <c r="E2617">
        <v>0</v>
      </c>
      <c r="F2617">
        <v>0</v>
      </c>
      <c r="G2617">
        <v>0</v>
      </c>
      <c r="H2617">
        <v>0</v>
      </c>
      <c r="I2617" t="s">
        <v>22</v>
      </c>
      <c r="J2617" t="s">
        <v>22</v>
      </c>
    </row>
    <row r="2618" spans="1:10" x14ac:dyDescent="0.25">
      <c r="A2618" t="s">
        <v>1789</v>
      </c>
      <c r="B2618" t="s">
        <v>1790</v>
      </c>
      <c r="C2618">
        <v>0</v>
      </c>
      <c r="D2618">
        <v>0</v>
      </c>
      <c r="E2618">
        <v>0</v>
      </c>
      <c r="F2618">
        <v>0</v>
      </c>
      <c r="G2618">
        <v>0</v>
      </c>
      <c r="H2618">
        <v>0</v>
      </c>
      <c r="I2618" t="s">
        <v>22</v>
      </c>
      <c r="J2618" t="s">
        <v>22</v>
      </c>
    </row>
    <row r="2619" spans="1:10" x14ac:dyDescent="0.25">
      <c r="A2619" t="s">
        <v>1791</v>
      </c>
      <c r="B2619" t="s">
        <v>1755</v>
      </c>
      <c r="C2619">
        <v>0</v>
      </c>
      <c r="D2619">
        <v>0</v>
      </c>
      <c r="E2619">
        <v>0</v>
      </c>
      <c r="F2619">
        <v>0</v>
      </c>
      <c r="G2619">
        <v>0</v>
      </c>
      <c r="H2619">
        <v>0</v>
      </c>
      <c r="I2619" t="s">
        <v>22</v>
      </c>
      <c r="J2619" t="s">
        <v>22</v>
      </c>
    </row>
    <row r="2620" spans="1:10" x14ac:dyDescent="0.25">
      <c r="A2620" t="s">
        <v>1792</v>
      </c>
      <c r="B2620" t="s">
        <v>1793</v>
      </c>
      <c r="C2620">
        <v>0</v>
      </c>
      <c r="D2620">
        <v>0</v>
      </c>
      <c r="E2620">
        <v>0</v>
      </c>
      <c r="F2620">
        <v>0</v>
      </c>
      <c r="G2620">
        <v>0</v>
      </c>
      <c r="H2620">
        <v>0</v>
      </c>
      <c r="I2620" t="s">
        <v>22</v>
      </c>
      <c r="J2620" t="s">
        <v>22</v>
      </c>
    </row>
    <row r="2621" spans="1:10" x14ac:dyDescent="0.25">
      <c r="A2621" t="s">
        <v>1794</v>
      </c>
      <c r="B2621" t="s">
        <v>1759</v>
      </c>
      <c r="C2621">
        <v>0</v>
      </c>
      <c r="D2621">
        <v>0</v>
      </c>
      <c r="E2621">
        <v>0</v>
      </c>
      <c r="F2621">
        <v>0</v>
      </c>
      <c r="G2621">
        <v>0</v>
      </c>
      <c r="H2621">
        <v>0</v>
      </c>
      <c r="I2621" t="s">
        <v>22</v>
      </c>
      <c r="J2621" t="s">
        <v>22</v>
      </c>
    </row>
    <row r="2622" spans="1:10" x14ac:dyDescent="0.25">
      <c r="C2622" t="s">
        <v>108</v>
      </c>
      <c r="D2622" t="s">
        <v>108</v>
      </c>
      <c r="E2622" t="s">
        <v>108</v>
      </c>
      <c r="F2622" t="s">
        <v>108</v>
      </c>
      <c r="G2622" t="s">
        <v>108</v>
      </c>
    </row>
    <row r="2623" spans="1:10" x14ac:dyDescent="0.25">
      <c r="H2623" t="s">
        <v>22</v>
      </c>
      <c r="I2623" t="s">
        <v>22</v>
      </c>
      <c r="J2623" t="s">
        <v>22</v>
      </c>
    </row>
    <row r="2624" spans="1:10" x14ac:dyDescent="0.25">
      <c r="A2624" t="s">
        <v>109</v>
      </c>
    </row>
    <row r="2625" spans="1:10" x14ac:dyDescent="0.25">
      <c r="B2625" t="s">
        <v>1795</v>
      </c>
      <c r="C2625">
        <v>0</v>
      </c>
      <c r="D2625">
        <v>0</v>
      </c>
      <c r="E2625">
        <v>0</v>
      </c>
      <c r="F2625">
        <v>0</v>
      </c>
      <c r="G2625">
        <v>0</v>
      </c>
      <c r="H2625">
        <v>0</v>
      </c>
    </row>
    <row r="2627" spans="1:10" x14ac:dyDescent="0.25">
      <c r="A2627" t="s">
        <v>1796</v>
      </c>
      <c r="B2627" t="s">
        <v>1763</v>
      </c>
    </row>
    <row r="2628" spans="1:10" x14ac:dyDescent="0.25">
      <c r="A2628" t="s">
        <v>18</v>
      </c>
      <c r="B2628" t="s">
        <v>24</v>
      </c>
    </row>
    <row r="2629" spans="1:10" x14ac:dyDescent="0.25">
      <c r="A2629" t="s">
        <v>1797</v>
      </c>
      <c r="B2629" t="s">
        <v>298</v>
      </c>
      <c r="C2629">
        <v>0</v>
      </c>
      <c r="D2629">
        <v>0</v>
      </c>
      <c r="E2629">
        <v>0</v>
      </c>
      <c r="F2629">
        <v>0</v>
      </c>
      <c r="G2629">
        <v>0</v>
      </c>
      <c r="H2629">
        <v>0</v>
      </c>
      <c r="I2629" t="s">
        <v>22</v>
      </c>
      <c r="J2629" t="s">
        <v>22</v>
      </c>
    </row>
    <row r="2630" spans="1:10" x14ac:dyDescent="0.25">
      <c r="C2630" t="s">
        <v>108</v>
      </c>
      <c r="D2630" t="s">
        <v>108</v>
      </c>
      <c r="E2630" t="s">
        <v>108</v>
      </c>
      <c r="F2630" t="s">
        <v>108</v>
      </c>
      <c r="G2630" t="s">
        <v>108</v>
      </c>
    </row>
    <row r="2631" spans="1:10" x14ac:dyDescent="0.25">
      <c r="H2631" t="s">
        <v>22</v>
      </c>
      <c r="I2631" t="s">
        <v>22</v>
      </c>
      <c r="J2631" t="s">
        <v>22</v>
      </c>
    </row>
    <row r="2632" spans="1:10" x14ac:dyDescent="0.25">
      <c r="A2632" t="s">
        <v>109</v>
      </c>
    </row>
    <row r="2633" spans="1:10" x14ac:dyDescent="0.25">
      <c r="B2633" t="s">
        <v>1798</v>
      </c>
      <c r="C2633">
        <v>0</v>
      </c>
      <c r="D2633">
        <v>0</v>
      </c>
      <c r="E2633">
        <v>0</v>
      </c>
      <c r="F2633">
        <v>0</v>
      </c>
      <c r="G2633">
        <v>0</v>
      </c>
      <c r="H2633">
        <v>0</v>
      </c>
    </row>
    <row r="2634" spans="1:10" x14ac:dyDescent="0.25">
      <c r="A2634" t="s">
        <v>18</v>
      </c>
      <c r="B2634" t="s">
        <v>19</v>
      </c>
      <c r="C2634" t="s">
        <v>20</v>
      </c>
      <c r="D2634" t="s">
        <v>21</v>
      </c>
      <c r="E2634" t="s">
        <v>26</v>
      </c>
    </row>
    <row r="2635" spans="1:10" x14ac:dyDescent="0.25">
      <c r="E2635" t="s">
        <v>339</v>
      </c>
      <c r="F2635" t="s">
        <v>23</v>
      </c>
      <c r="G2635" t="s">
        <v>24</v>
      </c>
      <c r="H2635" t="s">
        <v>20</v>
      </c>
      <c r="I2635" t="s">
        <v>24</v>
      </c>
      <c r="J2635" t="s">
        <v>20</v>
      </c>
    </row>
    <row r="2637" spans="1:10" x14ac:dyDescent="0.25">
      <c r="A2637" t="s">
        <v>383</v>
      </c>
      <c r="B2637" t="s">
        <v>384</v>
      </c>
      <c r="C2637" s="2">
        <v>1204688</v>
      </c>
      <c r="D2637" s="2">
        <v>1319484</v>
      </c>
      <c r="E2637" s="2">
        <v>1487871</v>
      </c>
      <c r="F2637" s="2">
        <v>1593219</v>
      </c>
      <c r="G2637" s="2">
        <v>566049</v>
      </c>
      <c r="H2637">
        <v>0</v>
      </c>
    </row>
    <row r="2638" spans="1:10" x14ac:dyDescent="0.25">
      <c r="A2638" t="s">
        <v>110</v>
      </c>
    </row>
    <row r="2639" spans="1:10" x14ac:dyDescent="0.25">
      <c r="A2639" s="1">
        <v>43991</v>
      </c>
      <c r="B2639" t="s">
        <v>1615</v>
      </c>
      <c r="D2639" t="s">
        <v>112</v>
      </c>
      <c r="E2639" t="s">
        <v>113</v>
      </c>
      <c r="F2639" t="s">
        <v>114</v>
      </c>
      <c r="J2639" t="s">
        <v>217</v>
      </c>
    </row>
    <row r="2640" spans="1:10" x14ac:dyDescent="0.25">
      <c r="D2640" t="s">
        <v>116</v>
      </c>
      <c r="E2640" t="s">
        <v>117</v>
      </c>
      <c r="F2640" t="s">
        <v>118</v>
      </c>
    </row>
    <row r="2641" spans="1:10" x14ac:dyDescent="0.25">
      <c r="D2641" t="s">
        <v>119</v>
      </c>
      <c r="E2641" t="s">
        <v>120</v>
      </c>
      <c r="F2641" t="s">
        <v>121</v>
      </c>
    </row>
    <row r="2642" spans="1:10" x14ac:dyDescent="0.25">
      <c r="A2642" t="s">
        <v>1713</v>
      </c>
      <c r="B2642" t="s">
        <v>1714</v>
      </c>
    </row>
    <row r="2643" spans="1:10" x14ac:dyDescent="0.25">
      <c r="A2643" t="s">
        <v>386</v>
      </c>
    </row>
    <row r="2644" spans="1:10" x14ac:dyDescent="0.25">
      <c r="F2644" t="s">
        <v>2</v>
      </c>
      <c r="G2644" t="s">
        <v>3</v>
      </c>
      <c r="H2644" t="s">
        <v>4</v>
      </c>
      <c r="I2644" t="s">
        <v>5</v>
      </c>
      <c r="J2644" t="s">
        <v>6</v>
      </c>
    </row>
    <row r="2645" spans="1:10" x14ac:dyDescent="0.25">
      <c r="C2645" t="s">
        <v>7</v>
      </c>
      <c r="D2645" t="s">
        <v>8</v>
      </c>
      <c r="E2645" t="s">
        <v>9</v>
      </c>
      <c r="F2645" t="s">
        <v>10</v>
      </c>
      <c r="G2645" t="s">
        <v>124</v>
      </c>
      <c r="H2645" t="s">
        <v>12</v>
      </c>
      <c r="I2645" t="s">
        <v>13</v>
      </c>
      <c r="J2645" t="s">
        <v>14</v>
      </c>
    </row>
    <row r="2646" spans="1:10" x14ac:dyDescent="0.25">
      <c r="C2646" t="s">
        <v>15</v>
      </c>
      <c r="D2646" t="s">
        <v>15</v>
      </c>
      <c r="E2646" t="s">
        <v>15</v>
      </c>
      <c r="F2646" t="s">
        <v>16</v>
      </c>
      <c r="G2646" t="s">
        <v>15</v>
      </c>
      <c r="H2646" t="s">
        <v>17</v>
      </c>
      <c r="I2646" t="s">
        <v>16</v>
      </c>
      <c r="J2646" t="s">
        <v>16</v>
      </c>
    </row>
    <row r="2647" spans="1:10" x14ac:dyDescent="0.25">
      <c r="A2647" t="s">
        <v>18</v>
      </c>
      <c r="B2647" t="s">
        <v>19</v>
      </c>
      <c r="C2647" t="s">
        <v>20</v>
      </c>
      <c r="D2647" t="s">
        <v>21</v>
      </c>
      <c r="E2647" t="s">
        <v>22</v>
      </c>
      <c r="F2647" t="s">
        <v>23</v>
      </c>
      <c r="G2647" t="s">
        <v>24</v>
      </c>
      <c r="H2647" t="s">
        <v>20</v>
      </c>
      <c r="I2647" t="s">
        <v>24</v>
      </c>
      <c r="J2647" t="s">
        <v>20</v>
      </c>
    </row>
    <row r="2650" spans="1:10" x14ac:dyDescent="0.25">
      <c r="A2650" t="s">
        <v>1799</v>
      </c>
      <c r="B2650" t="s">
        <v>1800</v>
      </c>
    </row>
    <row r="2651" spans="1:10" x14ac:dyDescent="0.25">
      <c r="A2651" t="s">
        <v>389</v>
      </c>
      <c r="B2651" t="s">
        <v>567</v>
      </c>
    </row>
    <row r="2653" spans="1:10" x14ac:dyDescent="0.25">
      <c r="A2653" t="s">
        <v>391</v>
      </c>
      <c r="B2653" t="s">
        <v>392</v>
      </c>
    </row>
    <row r="2654" spans="1:10" x14ac:dyDescent="0.25">
      <c r="A2654" t="s">
        <v>18</v>
      </c>
      <c r="B2654" t="s">
        <v>228</v>
      </c>
    </row>
    <row r="2655" spans="1:10" x14ac:dyDescent="0.25">
      <c r="A2655" t="s">
        <v>393</v>
      </c>
      <c r="B2655" t="s">
        <v>569</v>
      </c>
      <c r="C2655" s="2">
        <v>-15951</v>
      </c>
      <c r="D2655" s="2">
        <v>1818</v>
      </c>
      <c r="E2655">
        <v>0</v>
      </c>
      <c r="F2655">
        <v>0</v>
      </c>
      <c r="G2655">
        <v>0</v>
      </c>
      <c r="H2655">
        <v>0</v>
      </c>
      <c r="I2655" t="s">
        <v>22</v>
      </c>
      <c r="J2655" t="s">
        <v>22</v>
      </c>
    </row>
    <row r="2656" spans="1:10" x14ac:dyDescent="0.25">
      <c r="A2656" t="s">
        <v>395</v>
      </c>
      <c r="B2656" t="s">
        <v>396</v>
      </c>
      <c r="C2656">
        <v>290</v>
      </c>
      <c r="D2656">
        <v>102</v>
      </c>
      <c r="E2656">
        <v>968</v>
      </c>
      <c r="F2656" s="2">
        <v>3024</v>
      </c>
      <c r="G2656">
        <v>326</v>
      </c>
      <c r="H2656">
        <v>0</v>
      </c>
      <c r="I2656" t="s">
        <v>22</v>
      </c>
      <c r="J2656" t="s">
        <v>22</v>
      </c>
    </row>
    <row r="2657" spans="1:10" x14ac:dyDescent="0.25">
      <c r="A2657" t="s">
        <v>397</v>
      </c>
      <c r="B2657" t="s">
        <v>398</v>
      </c>
      <c r="C2657" s="2">
        <v>13438</v>
      </c>
      <c r="D2657" s="2">
        <v>14350</v>
      </c>
      <c r="E2657" s="2">
        <v>19477</v>
      </c>
      <c r="F2657" s="2">
        <v>23625</v>
      </c>
      <c r="G2657" s="2">
        <v>13776</v>
      </c>
      <c r="H2657">
        <v>0</v>
      </c>
      <c r="I2657" t="s">
        <v>22</v>
      </c>
      <c r="J2657" t="s">
        <v>22</v>
      </c>
    </row>
    <row r="2658" spans="1:10" x14ac:dyDescent="0.25">
      <c r="A2658" t="s">
        <v>399</v>
      </c>
      <c r="B2658" t="s">
        <v>400</v>
      </c>
      <c r="C2658" s="2">
        <v>-11396</v>
      </c>
      <c r="D2658" s="2">
        <v>15035</v>
      </c>
      <c r="E2658" s="2">
        <v>15475</v>
      </c>
      <c r="F2658" s="2">
        <v>17940</v>
      </c>
      <c r="G2658" s="2">
        <v>10704</v>
      </c>
      <c r="H2658">
        <v>0</v>
      </c>
      <c r="I2658" t="s">
        <v>22</v>
      </c>
      <c r="J2658" t="s">
        <v>22</v>
      </c>
    </row>
    <row r="2659" spans="1:10" x14ac:dyDescent="0.25">
      <c r="A2659" t="s">
        <v>401</v>
      </c>
      <c r="B2659" t="s">
        <v>574</v>
      </c>
      <c r="C2659" s="2">
        <v>29429</v>
      </c>
      <c r="D2659" s="2">
        <v>28827</v>
      </c>
      <c r="E2659" s="2">
        <v>43202</v>
      </c>
      <c r="F2659" s="2">
        <v>53812</v>
      </c>
      <c r="G2659" s="2">
        <v>29496</v>
      </c>
      <c r="H2659">
        <v>0</v>
      </c>
      <c r="I2659" t="s">
        <v>22</v>
      </c>
      <c r="J2659" t="s">
        <v>22</v>
      </c>
    </row>
    <row r="2660" spans="1:10" x14ac:dyDescent="0.25">
      <c r="A2660" t="s">
        <v>403</v>
      </c>
      <c r="B2660" t="s">
        <v>404</v>
      </c>
      <c r="C2660" s="2">
        <v>1660</v>
      </c>
      <c r="D2660" s="2">
        <v>1618</v>
      </c>
      <c r="E2660" s="2">
        <v>2581</v>
      </c>
      <c r="F2660" s="2">
        <v>2616</v>
      </c>
      <c r="G2660" s="2">
        <v>1718</v>
      </c>
      <c r="H2660">
        <v>0</v>
      </c>
      <c r="I2660" t="s">
        <v>22</v>
      </c>
      <c r="J2660" t="s">
        <v>22</v>
      </c>
    </row>
    <row r="2661" spans="1:10" x14ac:dyDescent="0.25">
      <c r="A2661" t="s">
        <v>405</v>
      </c>
      <c r="B2661" t="s">
        <v>406</v>
      </c>
      <c r="C2661" s="2">
        <v>9330</v>
      </c>
      <c r="D2661" s="2">
        <v>3765</v>
      </c>
      <c r="E2661" s="2">
        <v>6459</v>
      </c>
      <c r="F2661" s="2">
        <v>7105</v>
      </c>
      <c r="G2661" s="2">
        <v>3516</v>
      </c>
      <c r="H2661">
        <v>0</v>
      </c>
      <c r="I2661" t="s">
        <v>22</v>
      </c>
      <c r="J2661" t="s">
        <v>22</v>
      </c>
    </row>
    <row r="2662" spans="1:10" x14ac:dyDescent="0.25">
      <c r="A2662" t="s">
        <v>407</v>
      </c>
      <c r="B2662" t="s">
        <v>1801</v>
      </c>
      <c r="C2662" s="2">
        <v>57473</v>
      </c>
      <c r="D2662" s="2">
        <v>34398</v>
      </c>
      <c r="E2662">
        <v>0</v>
      </c>
      <c r="F2662">
        <v>0</v>
      </c>
      <c r="G2662">
        <v>0</v>
      </c>
      <c r="H2662">
        <v>0</v>
      </c>
      <c r="I2662" t="s">
        <v>22</v>
      </c>
      <c r="J2662" t="s">
        <v>22</v>
      </c>
    </row>
    <row r="2663" spans="1:10" x14ac:dyDescent="0.25">
      <c r="A2663" t="s">
        <v>1802</v>
      </c>
      <c r="B2663" t="s">
        <v>1803</v>
      </c>
      <c r="C2663" s="2">
        <v>20152</v>
      </c>
      <c r="D2663">
        <v>0</v>
      </c>
      <c r="E2663">
        <v>0</v>
      </c>
      <c r="F2663">
        <v>0</v>
      </c>
      <c r="G2663">
        <v>0</v>
      </c>
      <c r="H2663">
        <v>0</v>
      </c>
      <c r="I2663" t="s">
        <v>22</v>
      </c>
      <c r="J2663" t="s">
        <v>22</v>
      </c>
    </row>
    <row r="2664" spans="1:10" x14ac:dyDescent="0.25">
      <c r="A2664" t="s">
        <v>1804</v>
      </c>
      <c r="B2664" t="s">
        <v>1805</v>
      </c>
      <c r="C2664" s="2">
        <v>10884</v>
      </c>
      <c r="D2664" s="2">
        <v>14591</v>
      </c>
      <c r="E2664" s="2">
        <v>53843</v>
      </c>
      <c r="F2664" s="2">
        <v>44100</v>
      </c>
      <c r="G2664" s="2">
        <v>31284</v>
      </c>
      <c r="H2664">
        <v>0</v>
      </c>
      <c r="I2664" t="s">
        <v>22</v>
      </c>
      <c r="J2664" t="s">
        <v>22</v>
      </c>
    </row>
    <row r="2665" spans="1:10" x14ac:dyDescent="0.25">
      <c r="A2665" t="s">
        <v>1806</v>
      </c>
      <c r="B2665" t="s">
        <v>1807</v>
      </c>
      <c r="C2665">
        <v>0</v>
      </c>
      <c r="D2665">
        <v>0</v>
      </c>
      <c r="E2665">
        <v>0</v>
      </c>
      <c r="F2665">
        <v>0</v>
      </c>
      <c r="G2665">
        <v>0</v>
      </c>
      <c r="H2665">
        <v>0</v>
      </c>
      <c r="I2665" t="s">
        <v>22</v>
      </c>
      <c r="J2665" t="s">
        <v>22</v>
      </c>
    </row>
    <row r="2666" spans="1:10" x14ac:dyDescent="0.25">
      <c r="A2666" t="s">
        <v>1808</v>
      </c>
      <c r="B2666" t="s">
        <v>1809</v>
      </c>
      <c r="C2666">
        <v>0</v>
      </c>
      <c r="D2666" s="2">
        <v>20749</v>
      </c>
      <c r="E2666" s="2">
        <v>73500</v>
      </c>
      <c r="F2666" s="2">
        <v>77175</v>
      </c>
      <c r="G2666" s="2">
        <v>56377</v>
      </c>
      <c r="H2666">
        <v>0</v>
      </c>
      <c r="I2666" t="s">
        <v>22</v>
      </c>
      <c r="J2666" t="s">
        <v>22</v>
      </c>
    </row>
    <row r="2667" spans="1:10" x14ac:dyDescent="0.25">
      <c r="A2667" t="s">
        <v>409</v>
      </c>
      <c r="B2667" t="s">
        <v>1810</v>
      </c>
      <c r="C2667">
        <v>0</v>
      </c>
      <c r="D2667">
        <v>0</v>
      </c>
      <c r="E2667">
        <v>0</v>
      </c>
      <c r="F2667">
        <v>0</v>
      </c>
      <c r="G2667">
        <v>0</v>
      </c>
      <c r="H2667">
        <v>0</v>
      </c>
      <c r="I2667" t="s">
        <v>22</v>
      </c>
      <c r="J2667" t="s">
        <v>22</v>
      </c>
    </row>
    <row r="2668" spans="1:10" x14ac:dyDescent="0.25">
      <c r="A2668" t="s">
        <v>1811</v>
      </c>
      <c r="B2668" t="s">
        <v>1812</v>
      </c>
      <c r="C2668" s="2">
        <v>36667</v>
      </c>
      <c r="D2668" s="2">
        <v>38169</v>
      </c>
      <c r="E2668" s="2">
        <v>35845</v>
      </c>
      <c r="F2668" s="2">
        <v>74530</v>
      </c>
      <c r="G2668" s="2">
        <v>29285</v>
      </c>
      <c r="H2668">
        <v>0</v>
      </c>
      <c r="I2668" t="s">
        <v>22</v>
      </c>
      <c r="J2668" t="s">
        <v>22</v>
      </c>
    </row>
    <row r="2669" spans="1:10" x14ac:dyDescent="0.25">
      <c r="A2669" t="s">
        <v>411</v>
      </c>
      <c r="B2669" t="s">
        <v>1813</v>
      </c>
      <c r="C2669">
        <v>0</v>
      </c>
      <c r="D2669">
        <v>0</v>
      </c>
      <c r="E2669">
        <v>0</v>
      </c>
      <c r="F2669">
        <v>0</v>
      </c>
      <c r="G2669">
        <v>0</v>
      </c>
      <c r="H2669">
        <v>0</v>
      </c>
      <c r="I2669" t="s">
        <v>22</v>
      </c>
      <c r="J2669" t="s">
        <v>22</v>
      </c>
    </row>
    <row r="2670" spans="1:10" x14ac:dyDescent="0.25">
      <c r="A2670" t="s">
        <v>415</v>
      </c>
      <c r="B2670" t="s">
        <v>1814</v>
      </c>
      <c r="C2670" s="2">
        <v>44379</v>
      </c>
      <c r="D2670" s="2">
        <v>77521</v>
      </c>
      <c r="E2670" s="2">
        <v>88037</v>
      </c>
      <c r="F2670" s="2">
        <v>106250</v>
      </c>
      <c r="G2670" s="2">
        <v>58993</v>
      </c>
      <c r="H2670">
        <v>0</v>
      </c>
      <c r="I2670" t="s">
        <v>22</v>
      </c>
      <c r="J2670" t="s">
        <v>22</v>
      </c>
    </row>
    <row r="2671" spans="1:10" x14ac:dyDescent="0.25">
      <c r="A2671" t="s">
        <v>417</v>
      </c>
      <c r="B2671" t="s">
        <v>418</v>
      </c>
      <c r="C2671">
        <v>0</v>
      </c>
      <c r="D2671">
        <v>0</v>
      </c>
      <c r="E2671">
        <v>0</v>
      </c>
      <c r="F2671">
        <v>0</v>
      </c>
      <c r="G2671">
        <v>0</v>
      </c>
      <c r="H2671">
        <v>0</v>
      </c>
      <c r="I2671" t="s">
        <v>22</v>
      </c>
      <c r="J2671" t="s">
        <v>22</v>
      </c>
    </row>
    <row r="2672" spans="1:10" x14ac:dyDescent="0.25">
      <c r="A2672" t="s">
        <v>421</v>
      </c>
      <c r="B2672" t="s">
        <v>422</v>
      </c>
      <c r="C2672" s="2">
        <v>1662</v>
      </c>
      <c r="D2672">
        <v>0</v>
      </c>
      <c r="E2672">
        <v>0</v>
      </c>
      <c r="F2672">
        <v>0</v>
      </c>
      <c r="G2672">
        <v>0</v>
      </c>
      <c r="H2672">
        <v>0</v>
      </c>
      <c r="I2672" t="s">
        <v>22</v>
      </c>
      <c r="J2672" t="s">
        <v>22</v>
      </c>
    </row>
    <row r="2673" spans="1:10" x14ac:dyDescent="0.25">
      <c r="A2673" t="s">
        <v>423</v>
      </c>
      <c r="B2673" t="s">
        <v>424</v>
      </c>
      <c r="C2673" s="2">
        <v>1695</v>
      </c>
      <c r="D2673" s="2">
        <v>1107</v>
      </c>
      <c r="E2673" s="2">
        <v>1419</v>
      </c>
      <c r="F2673" s="2">
        <v>1865</v>
      </c>
      <c r="G2673" s="2">
        <v>1661</v>
      </c>
      <c r="H2673">
        <v>0</v>
      </c>
      <c r="I2673" t="s">
        <v>22</v>
      </c>
      <c r="J2673" t="s">
        <v>22</v>
      </c>
    </row>
    <row r="2674" spans="1:10" x14ac:dyDescent="0.25">
      <c r="A2674" t="s">
        <v>425</v>
      </c>
      <c r="B2674" t="s">
        <v>426</v>
      </c>
      <c r="C2674" s="2">
        <v>1215</v>
      </c>
      <c r="D2674">
        <v>810</v>
      </c>
      <c r="E2674" s="2">
        <v>1215</v>
      </c>
      <c r="F2674" s="2">
        <v>1620</v>
      </c>
      <c r="G2674" s="2">
        <v>1661</v>
      </c>
      <c r="H2674">
        <v>0</v>
      </c>
      <c r="I2674" t="s">
        <v>22</v>
      </c>
      <c r="J2674" t="s">
        <v>22</v>
      </c>
    </row>
    <row r="2675" spans="1:10" x14ac:dyDescent="0.25">
      <c r="A2675" t="s">
        <v>1815</v>
      </c>
      <c r="B2675" t="s">
        <v>598</v>
      </c>
      <c r="C2675">
        <v>0</v>
      </c>
      <c r="D2675">
        <v>0</v>
      </c>
      <c r="E2675">
        <v>0</v>
      </c>
      <c r="F2675" s="2">
        <v>1550</v>
      </c>
      <c r="G2675">
        <v>0</v>
      </c>
      <c r="H2675">
        <v>0</v>
      </c>
      <c r="I2675" t="s">
        <v>22</v>
      </c>
      <c r="J2675" t="s">
        <v>22</v>
      </c>
    </row>
    <row r="2676" spans="1:10" x14ac:dyDescent="0.25">
      <c r="A2676" t="s">
        <v>427</v>
      </c>
      <c r="B2676" t="s">
        <v>428</v>
      </c>
      <c r="C2676">
        <v>600</v>
      </c>
      <c r="D2676">
        <v>323</v>
      </c>
      <c r="E2676">
        <v>550</v>
      </c>
      <c r="F2676">
        <v>0</v>
      </c>
      <c r="G2676">
        <v>415</v>
      </c>
      <c r="H2676">
        <v>0</v>
      </c>
      <c r="I2676" t="s">
        <v>22</v>
      </c>
      <c r="J2676" t="s">
        <v>22</v>
      </c>
    </row>
    <row r="2677" spans="1:10" x14ac:dyDescent="0.25">
      <c r="A2677" t="s">
        <v>429</v>
      </c>
      <c r="B2677" t="s">
        <v>430</v>
      </c>
      <c r="C2677">
        <v>311</v>
      </c>
      <c r="D2677">
        <v>277</v>
      </c>
      <c r="E2677">
        <v>415</v>
      </c>
      <c r="F2677" s="2">
        <v>1004</v>
      </c>
      <c r="G2677">
        <v>415</v>
      </c>
      <c r="H2677">
        <v>0</v>
      </c>
      <c r="I2677" t="s">
        <v>22</v>
      </c>
      <c r="J2677" t="s">
        <v>22</v>
      </c>
    </row>
    <row r="2678" spans="1:10" x14ac:dyDescent="0.25">
      <c r="A2678" t="s">
        <v>431</v>
      </c>
      <c r="B2678" t="s">
        <v>432</v>
      </c>
      <c r="C2678" s="2">
        <v>1594</v>
      </c>
      <c r="D2678">
        <v>306</v>
      </c>
      <c r="E2678">
        <v>0</v>
      </c>
      <c r="F2678" s="2">
        <v>4000</v>
      </c>
      <c r="G2678">
        <v>135</v>
      </c>
      <c r="H2678">
        <v>0</v>
      </c>
      <c r="I2678" t="s">
        <v>22</v>
      </c>
      <c r="J2678" t="s">
        <v>22</v>
      </c>
    </row>
    <row r="2679" spans="1:10" x14ac:dyDescent="0.25">
      <c r="A2679" t="s">
        <v>433</v>
      </c>
      <c r="B2679" t="s">
        <v>434</v>
      </c>
      <c r="C2679">
        <v>0</v>
      </c>
      <c r="D2679">
        <v>0</v>
      </c>
      <c r="E2679">
        <v>0</v>
      </c>
      <c r="F2679">
        <v>0</v>
      </c>
      <c r="G2679">
        <v>0</v>
      </c>
      <c r="H2679">
        <v>0</v>
      </c>
      <c r="I2679" t="s">
        <v>22</v>
      </c>
      <c r="J2679" t="s">
        <v>22</v>
      </c>
    </row>
    <row r="2680" spans="1:10" x14ac:dyDescent="0.25">
      <c r="A2680" t="s">
        <v>435</v>
      </c>
      <c r="B2680" t="s">
        <v>436</v>
      </c>
      <c r="C2680">
        <v>0</v>
      </c>
      <c r="D2680">
        <v>0</v>
      </c>
      <c r="E2680">
        <v>0</v>
      </c>
      <c r="F2680">
        <v>0</v>
      </c>
      <c r="G2680">
        <v>0</v>
      </c>
      <c r="H2680">
        <v>0</v>
      </c>
      <c r="I2680" t="s">
        <v>22</v>
      </c>
      <c r="J2680" t="s">
        <v>22</v>
      </c>
    </row>
    <row r="2681" spans="1:10" x14ac:dyDescent="0.25">
      <c r="A2681" t="s">
        <v>437</v>
      </c>
      <c r="B2681" t="s">
        <v>1816</v>
      </c>
      <c r="C2681">
        <v>0</v>
      </c>
      <c r="D2681">
        <v>0</v>
      </c>
      <c r="E2681">
        <v>0</v>
      </c>
      <c r="F2681">
        <v>0</v>
      </c>
      <c r="G2681">
        <v>0</v>
      </c>
      <c r="H2681">
        <v>0</v>
      </c>
      <c r="I2681" t="s">
        <v>22</v>
      </c>
      <c r="J2681" t="s">
        <v>22</v>
      </c>
    </row>
    <row r="2682" spans="1:10" x14ac:dyDescent="0.25">
      <c r="C2682" t="s">
        <v>108</v>
      </c>
      <c r="D2682" t="s">
        <v>108</v>
      </c>
      <c r="E2682" t="s">
        <v>108</v>
      </c>
      <c r="F2682" t="s">
        <v>108</v>
      </c>
      <c r="G2682" t="s">
        <v>108</v>
      </c>
    </row>
    <row r="2683" spans="1:10" x14ac:dyDescent="0.25">
      <c r="H2683" t="s">
        <v>22</v>
      </c>
      <c r="I2683" t="s">
        <v>22</v>
      </c>
      <c r="J2683" t="s">
        <v>22</v>
      </c>
    </row>
    <row r="2684" spans="1:10" x14ac:dyDescent="0.25">
      <c r="A2684" t="s">
        <v>109</v>
      </c>
    </row>
    <row r="2685" spans="1:10" x14ac:dyDescent="0.25">
      <c r="B2685" t="s">
        <v>441</v>
      </c>
      <c r="C2685" s="2">
        <v>203433</v>
      </c>
      <c r="D2685" s="2">
        <v>253766</v>
      </c>
      <c r="E2685" s="2">
        <v>342986</v>
      </c>
      <c r="F2685" s="2">
        <v>420216</v>
      </c>
      <c r="G2685" s="2">
        <v>239762</v>
      </c>
      <c r="H2685">
        <v>0</v>
      </c>
    </row>
    <row r="2687" spans="1:10" x14ac:dyDescent="0.25">
      <c r="A2687" t="s">
        <v>442</v>
      </c>
      <c r="B2687" t="s">
        <v>443</v>
      </c>
    </row>
    <row r="2688" spans="1:10" x14ac:dyDescent="0.25">
      <c r="A2688" t="s">
        <v>18</v>
      </c>
      <c r="B2688" t="s">
        <v>21</v>
      </c>
    </row>
    <row r="2689" spans="1:10" x14ac:dyDescent="0.25">
      <c r="A2689" t="s">
        <v>444</v>
      </c>
      <c r="B2689" t="s">
        <v>445</v>
      </c>
      <c r="C2689" s="2">
        <v>2635</v>
      </c>
      <c r="D2689" s="2">
        <v>4307</v>
      </c>
      <c r="E2689" s="2">
        <v>4416</v>
      </c>
      <c r="F2689" s="2">
        <v>4858</v>
      </c>
      <c r="G2689" s="2">
        <v>4757</v>
      </c>
      <c r="H2689">
        <v>0</v>
      </c>
      <c r="I2689" t="s">
        <v>22</v>
      </c>
      <c r="J2689" t="s">
        <v>22</v>
      </c>
    </row>
    <row r="2690" spans="1:10" x14ac:dyDescent="0.25">
      <c r="A2690" t="s">
        <v>446</v>
      </c>
      <c r="B2690" t="s">
        <v>447</v>
      </c>
      <c r="C2690">
        <v>495</v>
      </c>
      <c r="D2690">
        <v>822</v>
      </c>
      <c r="E2690">
        <v>814</v>
      </c>
      <c r="F2690" s="2">
        <v>1500</v>
      </c>
      <c r="G2690">
        <v>488</v>
      </c>
      <c r="H2690">
        <v>0</v>
      </c>
      <c r="I2690" t="s">
        <v>22</v>
      </c>
      <c r="J2690" t="s">
        <v>22</v>
      </c>
    </row>
    <row r="2691" spans="1:10" x14ac:dyDescent="0.25">
      <c r="A2691" t="s">
        <v>448</v>
      </c>
      <c r="B2691" t="s">
        <v>449</v>
      </c>
      <c r="C2691">
        <v>996</v>
      </c>
      <c r="D2691" s="2">
        <v>2782</v>
      </c>
      <c r="E2691" s="2">
        <v>2421</v>
      </c>
      <c r="F2691" s="2">
        <v>2000</v>
      </c>
      <c r="G2691">
        <v>496</v>
      </c>
      <c r="H2691">
        <v>0</v>
      </c>
      <c r="I2691" t="s">
        <v>22</v>
      </c>
      <c r="J2691" t="s">
        <v>22</v>
      </c>
    </row>
    <row r="2692" spans="1:10" x14ac:dyDescent="0.25">
      <c r="A2692" t="s">
        <v>450</v>
      </c>
      <c r="B2692" t="s">
        <v>451</v>
      </c>
      <c r="C2692">
        <v>0</v>
      </c>
      <c r="D2692">
        <v>286</v>
      </c>
      <c r="E2692" s="2">
        <v>1019</v>
      </c>
      <c r="F2692" s="2">
        <v>2000</v>
      </c>
      <c r="G2692">
        <v>7</v>
      </c>
      <c r="H2692">
        <v>0</v>
      </c>
      <c r="I2692" t="s">
        <v>22</v>
      </c>
      <c r="J2692" t="s">
        <v>22</v>
      </c>
    </row>
    <row r="2693" spans="1:10" x14ac:dyDescent="0.25">
      <c r="A2693" t="s">
        <v>452</v>
      </c>
      <c r="B2693" t="s">
        <v>453</v>
      </c>
      <c r="C2693">
        <v>0</v>
      </c>
      <c r="D2693">
        <v>0</v>
      </c>
      <c r="E2693">
        <v>0</v>
      </c>
      <c r="F2693">
        <v>0</v>
      </c>
      <c r="G2693">
        <v>0</v>
      </c>
      <c r="H2693">
        <v>0</v>
      </c>
      <c r="I2693" t="s">
        <v>22</v>
      </c>
      <c r="J2693" t="s">
        <v>22</v>
      </c>
    </row>
    <row r="2694" spans="1:10" x14ac:dyDescent="0.25">
      <c r="A2694" t="s">
        <v>456</v>
      </c>
      <c r="B2694" t="s">
        <v>457</v>
      </c>
      <c r="C2694">
        <v>150</v>
      </c>
      <c r="D2694">
        <v>300</v>
      </c>
      <c r="E2694">
        <v>500</v>
      </c>
      <c r="F2694" s="2">
        <v>1100</v>
      </c>
      <c r="G2694" s="2">
        <v>1226</v>
      </c>
      <c r="H2694">
        <v>0</v>
      </c>
      <c r="I2694" t="s">
        <v>22</v>
      </c>
      <c r="J2694" t="s">
        <v>22</v>
      </c>
    </row>
    <row r="2695" spans="1:10" x14ac:dyDescent="0.25">
      <c r="A2695" t="s">
        <v>464</v>
      </c>
      <c r="B2695" t="s">
        <v>465</v>
      </c>
      <c r="C2695">
        <v>0</v>
      </c>
      <c r="D2695">
        <v>0</v>
      </c>
      <c r="E2695" s="2">
        <v>46200</v>
      </c>
      <c r="F2695" s="2">
        <v>47000</v>
      </c>
      <c r="G2695" s="2">
        <v>34650</v>
      </c>
      <c r="H2695">
        <v>0</v>
      </c>
      <c r="I2695" t="s">
        <v>22</v>
      </c>
      <c r="J2695" t="s">
        <v>22</v>
      </c>
    </row>
    <row r="2696" spans="1:10" x14ac:dyDescent="0.25">
      <c r="A2696" t="s">
        <v>468</v>
      </c>
      <c r="B2696" t="s">
        <v>710</v>
      </c>
      <c r="C2696" s="2">
        <v>17871</v>
      </c>
      <c r="D2696" s="2">
        <v>16251</v>
      </c>
      <c r="E2696" s="2">
        <v>19836</v>
      </c>
      <c r="F2696" s="2">
        <v>16500</v>
      </c>
      <c r="G2696" s="2">
        <v>12574</v>
      </c>
      <c r="H2696">
        <v>0</v>
      </c>
      <c r="I2696" t="s">
        <v>22</v>
      </c>
      <c r="J2696" t="s">
        <v>22</v>
      </c>
    </row>
    <row r="2697" spans="1:10" x14ac:dyDescent="0.25">
      <c r="A2697" t="s">
        <v>470</v>
      </c>
      <c r="B2697" t="s">
        <v>471</v>
      </c>
      <c r="C2697" s="2">
        <v>3513</v>
      </c>
      <c r="D2697" s="2">
        <v>3600</v>
      </c>
      <c r="E2697" s="2">
        <v>3230</v>
      </c>
      <c r="F2697" s="2">
        <v>3700</v>
      </c>
      <c r="G2697">
        <v>969</v>
      </c>
      <c r="H2697">
        <v>0</v>
      </c>
      <c r="I2697" t="s">
        <v>22</v>
      </c>
      <c r="J2697" t="s">
        <v>22</v>
      </c>
    </row>
    <row r="2698" spans="1:10" x14ac:dyDescent="0.25">
      <c r="A2698" t="s">
        <v>1817</v>
      </c>
      <c r="B2698" t="s">
        <v>1047</v>
      </c>
      <c r="C2698" s="2">
        <v>20079</v>
      </c>
      <c r="D2698" s="2">
        <v>20565</v>
      </c>
      <c r="E2698" s="2">
        <v>25215</v>
      </c>
      <c r="F2698" s="2">
        <v>23000</v>
      </c>
      <c r="G2698" s="2">
        <v>14702</v>
      </c>
      <c r="H2698">
        <v>0</v>
      </c>
      <c r="I2698" t="s">
        <v>22</v>
      </c>
      <c r="J2698" t="s">
        <v>22</v>
      </c>
    </row>
    <row r="2699" spans="1:10" x14ac:dyDescent="0.25">
      <c r="A2699" t="s">
        <v>1818</v>
      </c>
      <c r="B2699" t="s">
        <v>1049</v>
      </c>
      <c r="C2699" s="2">
        <v>6540</v>
      </c>
      <c r="D2699" s="2">
        <v>3195</v>
      </c>
      <c r="E2699" s="2">
        <v>9237</v>
      </c>
      <c r="F2699" s="2">
        <v>8000</v>
      </c>
      <c r="G2699" s="2">
        <v>1588</v>
      </c>
      <c r="H2699">
        <v>0</v>
      </c>
      <c r="I2699" t="s">
        <v>22</v>
      </c>
      <c r="J2699" t="s">
        <v>22</v>
      </c>
    </row>
    <row r="2700" spans="1:10" x14ac:dyDescent="0.25">
      <c r="A2700" t="s">
        <v>1819</v>
      </c>
      <c r="B2700" t="s">
        <v>1051</v>
      </c>
      <c r="C2700" s="2">
        <v>6240</v>
      </c>
      <c r="D2700" s="2">
        <v>3387</v>
      </c>
      <c r="E2700" s="2">
        <v>7666</v>
      </c>
      <c r="F2700" s="2">
        <v>6000</v>
      </c>
      <c r="G2700" s="2">
        <v>1733</v>
      </c>
      <c r="H2700">
        <v>0</v>
      </c>
      <c r="I2700" t="s">
        <v>22</v>
      </c>
      <c r="J2700" t="s">
        <v>22</v>
      </c>
    </row>
    <row r="2701" spans="1:10" x14ac:dyDescent="0.25">
      <c r="A2701" t="s">
        <v>1820</v>
      </c>
      <c r="B2701" t="s">
        <v>1821</v>
      </c>
      <c r="C2701" s="2">
        <v>3504</v>
      </c>
      <c r="D2701" s="2">
        <v>2674</v>
      </c>
      <c r="E2701" s="2">
        <v>3048</v>
      </c>
      <c r="F2701" s="2">
        <v>3300</v>
      </c>
      <c r="G2701" s="2">
        <v>1843</v>
      </c>
      <c r="H2701">
        <v>0</v>
      </c>
      <c r="I2701" t="s">
        <v>22</v>
      </c>
      <c r="J2701" t="s">
        <v>22</v>
      </c>
    </row>
    <row r="2702" spans="1:10" x14ac:dyDescent="0.25">
      <c r="A2702" t="s">
        <v>472</v>
      </c>
      <c r="B2702" t="s">
        <v>473</v>
      </c>
      <c r="C2702" s="2">
        <v>6020</v>
      </c>
      <c r="D2702" s="2">
        <v>24596</v>
      </c>
      <c r="E2702" s="2">
        <v>16680</v>
      </c>
      <c r="F2702" s="2">
        <v>20000</v>
      </c>
      <c r="G2702" s="2">
        <v>9326</v>
      </c>
      <c r="H2702">
        <v>0</v>
      </c>
      <c r="I2702" t="s">
        <v>22</v>
      </c>
      <c r="J2702" t="s">
        <v>22</v>
      </c>
    </row>
    <row r="2703" spans="1:10" x14ac:dyDescent="0.25">
      <c r="A2703" t="s">
        <v>110</v>
      </c>
    </row>
    <row r="2704" spans="1:10" x14ac:dyDescent="0.25">
      <c r="A2704" s="1">
        <v>43991</v>
      </c>
      <c r="B2704" t="s">
        <v>1615</v>
      </c>
      <c r="D2704" t="s">
        <v>112</v>
      </c>
      <c r="E2704" t="s">
        <v>113</v>
      </c>
      <c r="F2704" t="s">
        <v>114</v>
      </c>
      <c r="J2704" t="s">
        <v>307</v>
      </c>
    </row>
    <row r="2705" spans="1:10" x14ac:dyDescent="0.25">
      <c r="D2705" t="s">
        <v>116</v>
      </c>
      <c r="E2705" t="s">
        <v>117</v>
      </c>
      <c r="F2705" t="s">
        <v>118</v>
      </c>
    </row>
    <row r="2706" spans="1:10" x14ac:dyDescent="0.25">
      <c r="D2706" t="s">
        <v>119</v>
      </c>
      <c r="E2706" t="s">
        <v>120</v>
      </c>
      <c r="F2706" t="s">
        <v>121</v>
      </c>
    </row>
    <row r="2707" spans="1:10" x14ac:dyDescent="0.25">
      <c r="A2707" t="s">
        <v>1713</v>
      </c>
      <c r="B2707" t="s">
        <v>1714</v>
      </c>
    </row>
    <row r="2708" spans="1:10" x14ac:dyDescent="0.25">
      <c r="A2708" t="s">
        <v>386</v>
      </c>
    </row>
    <row r="2709" spans="1:10" x14ac:dyDescent="0.25">
      <c r="F2709" t="s">
        <v>2</v>
      </c>
      <c r="G2709" t="s">
        <v>3</v>
      </c>
      <c r="H2709" t="s">
        <v>4</v>
      </c>
      <c r="I2709" t="s">
        <v>5</v>
      </c>
      <c r="J2709" t="s">
        <v>6</v>
      </c>
    </row>
    <row r="2710" spans="1:10" x14ac:dyDescent="0.25">
      <c r="C2710" t="s">
        <v>7</v>
      </c>
      <c r="D2710" t="s">
        <v>8</v>
      </c>
      <c r="E2710" t="s">
        <v>9</v>
      </c>
      <c r="F2710" t="s">
        <v>10</v>
      </c>
      <c r="G2710" t="s">
        <v>124</v>
      </c>
      <c r="H2710" t="s">
        <v>12</v>
      </c>
      <c r="I2710" t="s">
        <v>13</v>
      </c>
      <c r="J2710" t="s">
        <v>14</v>
      </c>
    </row>
    <row r="2711" spans="1:10" x14ac:dyDescent="0.25">
      <c r="C2711" t="s">
        <v>15</v>
      </c>
      <c r="D2711" t="s">
        <v>15</v>
      </c>
      <c r="E2711" t="s">
        <v>15</v>
      </c>
      <c r="F2711" t="s">
        <v>16</v>
      </c>
      <c r="G2711" t="s">
        <v>15</v>
      </c>
      <c r="H2711" t="s">
        <v>17</v>
      </c>
      <c r="I2711" t="s">
        <v>16</v>
      </c>
      <c r="J2711" t="s">
        <v>16</v>
      </c>
    </row>
    <row r="2712" spans="1:10" x14ac:dyDescent="0.25">
      <c r="A2712" t="s">
        <v>18</v>
      </c>
      <c r="B2712" t="s">
        <v>19</v>
      </c>
      <c r="C2712" t="s">
        <v>20</v>
      </c>
      <c r="D2712" t="s">
        <v>21</v>
      </c>
      <c r="E2712" t="s">
        <v>22</v>
      </c>
      <c r="F2712" t="s">
        <v>23</v>
      </c>
      <c r="G2712" t="s">
        <v>24</v>
      </c>
      <c r="H2712" t="s">
        <v>20</v>
      </c>
      <c r="I2712" t="s">
        <v>24</v>
      </c>
      <c r="J2712" t="s">
        <v>20</v>
      </c>
    </row>
    <row r="2713" spans="1:10" x14ac:dyDescent="0.25">
      <c r="A2713" t="s">
        <v>1822</v>
      </c>
      <c r="B2713" t="s">
        <v>1823</v>
      </c>
      <c r="C2713">
        <v>0</v>
      </c>
      <c r="D2713">
        <v>0</v>
      </c>
      <c r="E2713" s="2">
        <v>2787</v>
      </c>
      <c r="F2713" s="2">
        <v>10000</v>
      </c>
      <c r="G2713" s="2">
        <v>4538</v>
      </c>
      <c r="H2713">
        <v>0</v>
      </c>
      <c r="I2713" t="s">
        <v>22</v>
      </c>
      <c r="J2713" t="s">
        <v>22</v>
      </c>
    </row>
    <row r="2714" spans="1:10" x14ac:dyDescent="0.25">
      <c r="A2714" t="s">
        <v>1824</v>
      </c>
      <c r="B2714" t="s">
        <v>1241</v>
      </c>
      <c r="C2714" s="2">
        <v>10632</v>
      </c>
      <c r="D2714">
        <v>0</v>
      </c>
      <c r="E2714">
        <v>0</v>
      </c>
      <c r="F2714">
        <v>0</v>
      </c>
      <c r="G2714">
        <v>380</v>
      </c>
      <c r="H2714">
        <v>0</v>
      </c>
      <c r="I2714" t="s">
        <v>22</v>
      </c>
      <c r="J2714" t="s">
        <v>22</v>
      </c>
    </row>
    <row r="2715" spans="1:10" x14ac:dyDescent="0.25">
      <c r="A2715" t="s">
        <v>474</v>
      </c>
      <c r="B2715" t="s">
        <v>475</v>
      </c>
      <c r="C2715" s="2">
        <v>6769</v>
      </c>
      <c r="D2715" s="2">
        <v>36513</v>
      </c>
      <c r="E2715" s="2">
        <v>11873</v>
      </c>
      <c r="F2715" s="2">
        <v>7500</v>
      </c>
      <c r="G2715" s="2">
        <v>5848</v>
      </c>
      <c r="H2715">
        <v>0</v>
      </c>
      <c r="I2715" t="s">
        <v>22</v>
      </c>
      <c r="J2715" t="s">
        <v>22</v>
      </c>
    </row>
    <row r="2716" spans="1:10" x14ac:dyDescent="0.25">
      <c r="A2716" t="s">
        <v>1825</v>
      </c>
      <c r="B2716" t="s">
        <v>1826</v>
      </c>
      <c r="C2716">
        <v>0</v>
      </c>
      <c r="D2716">
        <v>0</v>
      </c>
      <c r="E2716" s="2">
        <v>1495</v>
      </c>
      <c r="F2716" s="2">
        <v>1550</v>
      </c>
      <c r="G2716">
        <v>0</v>
      </c>
      <c r="H2716">
        <v>0</v>
      </c>
      <c r="I2716" t="s">
        <v>22</v>
      </c>
      <c r="J2716" t="s">
        <v>22</v>
      </c>
    </row>
    <row r="2717" spans="1:10" x14ac:dyDescent="0.25">
      <c r="A2717" t="s">
        <v>476</v>
      </c>
      <c r="B2717" t="s">
        <v>477</v>
      </c>
      <c r="C2717">
        <v>802</v>
      </c>
      <c r="D2717" s="2">
        <v>1981</v>
      </c>
      <c r="E2717">
        <v>0</v>
      </c>
      <c r="F2717">
        <v>500</v>
      </c>
      <c r="G2717">
        <v>0</v>
      </c>
      <c r="H2717">
        <v>0</v>
      </c>
      <c r="I2717" t="s">
        <v>22</v>
      </c>
      <c r="J2717" t="s">
        <v>22</v>
      </c>
    </row>
    <row r="2718" spans="1:10" x14ac:dyDescent="0.25">
      <c r="C2718" t="s">
        <v>108</v>
      </c>
      <c r="D2718" t="s">
        <v>108</v>
      </c>
      <c r="E2718" t="s">
        <v>108</v>
      </c>
      <c r="F2718" t="s">
        <v>108</v>
      </c>
      <c r="G2718" t="s">
        <v>108</v>
      </c>
    </row>
    <row r="2719" spans="1:10" x14ac:dyDescent="0.25">
      <c r="H2719" t="s">
        <v>22</v>
      </c>
      <c r="I2719" t="s">
        <v>22</v>
      </c>
      <c r="J2719" t="s">
        <v>22</v>
      </c>
    </row>
    <row r="2720" spans="1:10" x14ac:dyDescent="0.25">
      <c r="A2720" t="s">
        <v>109</v>
      </c>
    </row>
    <row r="2721" spans="1:10" x14ac:dyDescent="0.25">
      <c r="B2721" t="s">
        <v>478</v>
      </c>
      <c r="C2721" s="2">
        <v>86245</v>
      </c>
      <c r="D2721" s="2">
        <v>121258</v>
      </c>
      <c r="E2721" s="2">
        <v>156435</v>
      </c>
      <c r="F2721" s="2">
        <v>158508</v>
      </c>
      <c r="G2721" s="2">
        <v>95124</v>
      </c>
      <c r="H2721">
        <v>0</v>
      </c>
    </row>
    <row r="2723" spans="1:10" x14ac:dyDescent="0.25">
      <c r="A2723" t="s">
        <v>489</v>
      </c>
    </row>
    <row r="2724" spans="1:10" x14ac:dyDescent="0.25">
      <c r="A2724" t="s">
        <v>18</v>
      </c>
    </row>
    <row r="2725" spans="1:10" x14ac:dyDescent="0.25">
      <c r="A2725" t="s">
        <v>490</v>
      </c>
      <c r="B2725" t="s">
        <v>491</v>
      </c>
      <c r="C2725">
        <v>0</v>
      </c>
      <c r="D2725">
        <v>0</v>
      </c>
      <c r="E2725">
        <v>0</v>
      </c>
      <c r="F2725">
        <v>0</v>
      </c>
      <c r="G2725">
        <v>0</v>
      </c>
      <c r="H2725">
        <v>0</v>
      </c>
      <c r="I2725" t="s">
        <v>22</v>
      </c>
      <c r="J2725" t="s">
        <v>22</v>
      </c>
    </row>
    <row r="2726" spans="1:10" x14ac:dyDescent="0.25">
      <c r="A2726" t="s">
        <v>492</v>
      </c>
      <c r="B2726" t="s">
        <v>493</v>
      </c>
      <c r="C2726">
        <v>7</v>
      </c>
      <c r="D2726">
        <v>0</v>
      </c>
      <c r="E2726">
        <v>0</v>
      </c>
      <c r="F2726">
        <v>150</v>
      </c>
      <c r="G2726">
        <v>0</v>
      </c>
      <c r="H2726">
        <v>0</v>
      </c>
      <c r="I2726" t="s">
        <v>22</v>
      </c>
      <c r="J2726" t="s">
        <v>22</v>
      </c>
    </row>
    <row r="2727" spans="1:10" x14ac:dyDescent="0.25">
      <c r="A2727" t="s">
        <v>494</v>
      </c>
      <c r="B2727" t="s">
        <v>489</v>
      </c>
      <c r="C2727" s="2">
        <v>3874</v>
      </c>
      <c r="D2727" s="2">
        <v>9417</v>
      </c>
      <c r="E2727" s="2">
        <v>8122</v>
      </c>
      <c r="F2727" s="2">
        <v>7500</v>
      </c>
      <c r="G2727" s="2">
        <v>3353</v>
      </c>
      <c r="H2727">
        <v>0</v>
      </c>
      <c r="I2727" t="s">
        <v>22</v>
      </c>
      <c r="J2727" t="s">
        <v>22</v>
      </c>
    </row>
    <row r="2728" spans="1:10" x14ac:dyDescent="0.25">
      <c r="A2728" t="s">
        <v>1827</v>
      </c>
      <c r="B2728" t="s">
        <v>1828</v>
      </c>
      <c r="C2728" s="2">
        <v>53575</v>
      </c>
      <c r="D2728" s="2">
        <v>37408</v>
      </c>
      <c r="E2728" s="2">
        <v>35390</v>
      </c>
      <c r="F2728" s="2">
        <v>40000</v>
      </c>
      <c r="G2728" s="2">
        <v>26745</v>
      </c>
      <c r="H2728">
        <v>0</v>
      </c>
      <c r="I2728" t="s">
        <v>22</v>
      </c>
      <c r="J2728" t="s">
        <v>22</v>
      </c>
    </row>
    <row r="2729" spans="1:10" x14ac:dyDescent="0.25">
      <c r="A2729" t="s">
        <v>1829</v>
      </c>
      <c r="B2729" t="s">
        <v>1830</v>
      </c>
      <c r="C2729">
        <v>0</v>
      </c>
      <c r="D2729">
        <v>0</v>
      </c>
      <c r="E2729">
        <v>0</v>
      </c>
      <c r="F2729">
        <v>0</v>
      </c>
      <c r="G2729">
        <v>0</v>
      </c>
      <c r="H2729">
        <v>0</v>
      </c>
      <c r="I2729" t="s">
        <v>22</v>
      </c>
      <c r="J2729" t="s">
        <v>22</v>
      </c>
    </row>
    <row r="2730" spans="1:10" x14ac:dyDescent="0.25">
      <c r="A2730" t="s">
        <v>1831</v>
      </c>
      <c r="B2730" t="s">
        <v>1832</v>
      </c>
      <c r="C2730">
        <v>-582</v>
      </c>
      <c r="D2730">
        <v>0</v>
      </c>
      <c r="E2730">
        <v>0</v>
      </c>
      <c r="F2730">
        <v>0</v>
      </c>
      <c r="G2730">
        <v>0</v>
      </c>
      <c r="H2730">
        <v>0</v>
      </c>
      <c r="I2730" t="s">
        <v>22</v>
      </c>
      <c r="J2730" t="s">
        <v>22</v>
      </c>
    </row>
    <row r="2731" spans="1:10" x14ac:dyDescent="0.25">
      <c r="A2731" t="s">
        <v>1833</v>
      </c>
      <c r="B2731" t="s">
        <v>1834</v>
      </c>
      <c r="C2731">
        <v>0</v>
      </c>
      <c r="D2731">
        <v>0</v>
      </c>
      <c r="E2731">
        <v>0</v>
      </c>
      <c r="F2731">
        <v>0</v>
      </c>
      <c r="G2731">
        <v>0</v>
      </c>
      <c r="H2731">
        <v>0</v>
      </c>
      <c r="I2731" t="s">
        <v>22</v>
      </c>
      <c r="J2731" t="s">
        <v>22</v>
      </c>
    </row>
    <row r="2732" spans="1:10" x14ac:dyDescent="0.25">
      <c r="A2732" t="s">
        <v>1835</v>
      </c>
      <c r="B2732" t="s">
        <v>1836</v>
      </c>
      <c r="C2732">
        <v>0</v>
      </c>
      <c r="D2732">
        <v>0</v>
      </c>
      <c r="E2732">
        <v>0</v>
      </c>
      <c r="F2732">
        <v>0</v>
      </c>
      <c r="G2732">
        <v>0</v>
      </c>
      <c r="H2732">
        <v>0</v>
      </c>
      <c r="I2732" t="s">
        <v>22</v>
      </c>
      <c r="J2732" t="s">
        <v>22</v>
      </c>
    </row>
    <row r="2733" spans="1:10" x14ac:dyDescent="0.25">
      <c r="A2733" t="s">
        <v>1837</v>
      </c>
      <c r="B2733" t="s">
        <v>1838</v>
      </c>
      <c r="C2733" s="2">
        <v>5723</v>
      </c>
      <c r="D2733">
        <v>0</v>
      </c>
      <c r="E2733">
        <v>0</v>
      </c>
      <c r="F2733">
        <v>0</v>
      </c>
      <c r="G2733">
        <v>0</v>
      </c>
      <c r="H2733">
        <v>0</v>
      </c>
      <c r="I2733" t="s">
        <v>22</v>
      </c>
      <c r="J2733" t="s">
        <v>22</v>
      </c>
    </row>
    <row r="2734" spans="1:10" x14ac:dyDescent="0.25">
      <c r="A2734" t="s">
        <v>495</v>
      </c>
      <c r="B2734" t="s">
        <v>496</v>
      </c>
      <c r="C2734">
        <v>0</v>
      </c>
      <c r="D2734" s="2">
        <v>6049</v>
      </c>
      <c r="E2734" s="2">
        <v>8698</v>
      </c>
      <c r="F2734" s="2">
        <v>7500</v>
      </c>
      <c r="G2734" s="2">
        <v>6917</v>
      </c>
      <c r="H2734">
        <v>0</v>
      </c>
      <c r="I2734" t="s">
        <v>22</v>
      </c>
      <c r="J2734" t="s">
        <v>22</v>
      </c>
    </row>
    <row r="2735" spans="1:10" x14ac:dyDescent="0.25">
      <c r="A2735" t="s">
        <v>497</v>
      </c>
      <c r="B2735" t="s">
        <v>498</v>
      </c>
      <c r="C2735">
        <v>-85</v>
      </c>
      <c r="D2735">
        <v>0</v>
      </c>
      <c r="E2735">
        <v>0</v>
      </c>
      <c r="F2735">
        <v>0</v>
      </c>
      <c r="G2735">
        <v>0</v>
      </c>
      <c r="H2735">
        <v>0</v>
      </c>
      <c r="I2735" t="s">
        <v>22</v>
      </c>
      <c r="J2735" t="s">
        <v>22</v>
      </c>
    </row>
    <row r="2736" spans="1:10" x14ac:dyDescent="0.25">
      <c r="A2736" t="s">
        <v>499</v>
      </c>
      <c r="B2736" t="s">
        <v>500</v>
      </c>
      <c r="C2736">
        <v>0</v>
      </c>
      <c r="D2736">
        <v>0</v>
      </c>
      <c r="E2736">
        <v>0</v>
      </c>
      <c r="F2736">
        <v>0</v>
      </c>
      <c r="G2736">
        <v>0</v>
      </c>
      <c r="H2736">
        <v>0</v>
      </c>
      <c r="I2736" t="s">
        <v>22</v>
      </c>
      <c r="J2736" t="s">
        <v>22</v>
      </c>
    </row>
    <row r="2737" spans="1:10" x14ac:dyDescent="0.25">
      <c r="C2737" t="s">
        <v>108</v>
      </c>
      <c r="D2737" t="s">
        <v>108</v>
      </c>
      <c r="E2737" t="s">
        <v>108</v>
      </c>
      <c r="F2737" t="s">
        <v>108</v>
      </c>
      <c r="G2737" t="s">
        <v>108</v>
      </c>
    </row>
    <row r="2738" spans="1:10" x14ac:dyDescent="0.25">
      <c r="H2738" t="s">
        <v>22</v>
      </c>
      <c r="I2738" t="s">
        <v>22</v>
      </c>
      <c r="J2738" t="s">
        <v>22</v>
      </c>
    </row>
    <row r="2739" spans="1:10" x14ac:dyDescent="0.25">
      <c r="A2739" t="s">
        <v>109</v>
      </c>
    </row>
    <row r="2740" spans="1:10" x14ac:dyDescent="0.25">
      <c r="B2740" t="s">
        <v>489</v>
      </c>
      <c r="C2740" s="2">
        <v>62513</v>
      </c>
      <c r="D2740" s="2">
        <v>52874</v>
      </c>
      <c r="E2740" s="2">
        <v>52209</v>
      </c>
      <c r="F2740" s="2">
        <v>55150</v>
      </c>
      <c r="G2740" s="2">
        <v>37015</v>
      </c>
      <c r="H2740">
        <v>0</v>
      </c>
    </row>
    <row r="2742" spans="1:10" x14ac:dyDescent="0.25">
      <c r="A2742" t="s">
        <v>501</v>
      </c>
    </row>
    <row r="2743" spans="1:10" x14ac:dyDescent="0.25">
      <c r="A2743" t="s">
        <v>18</v>
      </c>
    </row>
    <row r="2744" spans="1:10" x14ac:dyDescent="0.25">
      <c r="A2744" t="s">
        <v>502</v>
      </c>
      <c r="B2744" t="s">
        <v>503</v>
      </c>
      <c r="C2744" s="2">
        <v>11728</v>
      </c>
      <c r="D2744">
        <v>0</v>
      </c>
      <c r="E2744">
        <v>0</v>
      </c>
      <c r="F2744" s="2">
        <v>4000</v>
      </c>
      <c r="G2744" s="2">
        <v>1846</v>
      </c>
      <c r="H2744">
        <v>0</v>
      </c>
      <c r="I2744" t="s">
        <v>22</v>
      </c>
      <c r="J2744" t="s">
        <v>22</v>
      </c>
    </row>
    <row r="2745" spans="1:10" x14ac:dyDescent="0.25">
      <c r="A2745" t="s">
        <v>508</v>
      </c>
      <c r="B2745" t="s">
        <v>509</v>
      </c>
      <c r="C2745" s="2">
        <v>3084</v>
      </c>
      <c r="D2745" s="2">
        <v>2332</v>
      </c>
      <c r="E2745" s="2">
        <v>8587</v>
      </c>
      <c r="F2745" s="2">
        <v>15000</v>
      </c>
      <c r="G2745" s="2">
        <v>11892</v>
      </c>
      <c r="H2745">
        <v>0</v>
      </c>
      <c r="I2745" t="s">
        <v>22</v>
      </c>
      <c r="J2745" t="s">
        <v>22</v>
      </c>
    </row>
    <row r="2746" spans="1:10" x14ac:dyDescent="0.25">
      <c r="A2746" t="s">
        <v>516</v>
      </c>
      <c r="B2746" t="s">
        <v>517</v>
      </c>
      <c r="C2746">
        <v>0</v>
      </c>
      <c r="D2746" s="2">
        <v>1200</v>
      </c>
      <c r="E2746" s="2">
        <v>1227</v>
      </c>
      <c r="F2746" s="2">
        <v>1000</v>
      </c>
      <c r="G2746">
        <v>343</v>
      </c>
      <c r="H2746">
        <v>0</v>
      </c>
      <c r="I2746" t="s">
        <v>22</v>
      </c>
      <c r="J2746" t="s">
        <v>22</v>
      </c>
    </row>
    <row r="2747" spans="1:10" x14ac:dyDescent="0.25">
      <c r="A2747" t="s">
        <v>518</v>
      </c>
      <c r="B2747" t="s">
        <v>519</v>
      </c>
      <c r="C2747">
        <v>0</v>
      </c>
      <c r="D2747">
        <v>128</v>
      </c>
      <c r="E2747">
        <v>0</v>
      </c>
      <c r="F2747">
        <v>0</v>
      </c>
      <c r="G2747">
        <v>0</v>
      </c>
      <c r="H2747">
        <v>0</v>
      </c>
      <c r="I2747" t="s">
        <v>22</v>
      </c>
      <c r="J2747" t="s">
        <v>22</v>
      </c>
    </row>
    <row r="2748" spans="1:10" x14ac:dyDescent="0.25">
      <c r="A2748" t="s">
        <v>520</v>
      </c>
      <c r="B2748" t="s">
        <v>521</v>
      </c>
      <c r="C2748" s="2">
        <v>7962</v>
      </c>
      <c r="D2748" s="2">
        <v>6177</v>
      </c>
      <c r="E2748" s="2">
        <v>9145</v>
      </c>
      <c r="F2748" s="2">
        <v>9000</v>
      </c>
      <c r="G2748" s="2">
        <v>2139</v>
      </c>
      <c r="H2748">
        <v>0</v>
      </c>
      <c r="I2748" t="s">
        <v>22</v>
      </c>
      <c r="J2748" t="s">
        <v>22</v>
      </c>
    </row>
    <row r="2749" spans="1:10" x14ac:dyDescent="0.25">
      <c r="A2749" t="s">
        <v>1839</v>
      </c>
      <c r="B2749" t="s">
        <v>775</v>
      </c>
      <c r="C2749" s="2">
        <v>35826</v>
      </c>
      <c r="D2749" s="2">
        <v>17861</v>
      </c>
      <c r="E2749" s="2">
        <v>16377</v>
      </c>
      <c r="F2749" s="2">
        <v>15000</v>
      </c>
      <c r="G2749" s="2">
        <v>9008</v>
      </c>
      <c r="H2749">
        <v>0</v>
      </c>
      <c r="I2749" t="s">
        <v>22</v>
      </c>
      <c r="J2749" t="s">
        <v>22</v>
      </c>
    </row>
    <row r="2750" spans="1:10" x14ac:dyDescent="0.25">
      <c r="A2750" t="s">
        <v>522</v>
      </c>
      <c r="B2750" t="s">
        <v>1840</v>
      </c>
      <c r="C2750">
        <v>0</v>
      </c>
      <c r="D2750">
        <v>0</v>
      </c>
      <c r="E2750">
        <v>0</v>
      </c>
      <c r="F2750">
        <v>0</v>
      </c>
      <c r="G2750">
        <v>0</v>
      </c>
      <c r="H2750">
        <v>0</v>
      </c>
      <c r="I2750" t="s">
        <v>22</v>
      </c>
      <c r="J2750" t="s">
        <v>22</v>
      </c>
    </row>
    <row r="2751" spans="1:10" x14ac:dyDescent="0.25">
      <c r="A2751" t="s">
        <v>1841</v>
      </c>
      <c r="B2751" t="s">
        <v>1085</v>
      </c>
      <c r="C2751" s="2">
        <v>1125</v>
      </c>
      <c r="D2751" s="2">
        <v>1120</v>
      </c>
      <c r="E2751" s="2">
        <v>1197</v>
      </c>
      <c r="F2751" s="2">
        <v>1400</v>
      </c>
      <c r="G2751">
        <v>912</v>
      </c>
      <c r="H2751">
        <v>0</v>
      </c>
      <c r="I2751" t="s">
        <v>22</v>
      </c>
      <c r="J2751" t="s">
        <v>22</v>
      </c>
    </row>
    <row r="2752" spans="1:10" x14ac:dyDescent="0.25">
      <c r="C2752" t="s">
        <v>108</v>
      </c>
      <c r="D2752" t="s">
        <v>108</v>
      </c>
      <c r="E2752" t="s">
        <v>108</v>
      </c>
      <c r="F2752" t="s">
        <v>108</v>
      </c>
      <c r="G2752" t="s">
        <v>108</v>
      </c>
    </row>
    <row r="2753" spans="1:10" x14ac:dyDescent="0.25">
      <c r="H2753" t="s">
        <v>22</v>
      </c>
      <c r="I2753" t="s">
        <v>22</v>
      </c>
      <c r="J2753" t="s">
        <v>22</v>
      </c>
    </row>
    <row r="2754" spans="1:10" x14ac:dyDescent="0.25">
      <c r="A2754" t="s">
        <v>109</v>
      </c>
    </row>
    <row r="2755" spans="1:10" x14ac:dyDescent="0.25">
      <c r="B2755" t="s">
        <v>501</v>
      </c>
      <c r="C2755" s="2">
        <v>59726</v>
      </c>
      <c r="D2755" s="2">
        <v>28818</v>
      </c>
      <c r="E2755" s="2">
        <v>36533</v>
      </c>
      <c r="F2755" s="2">
        <v>45400</v>
      </c>
      <c r="G2755" s="2">
        <v>26140</v>
      </c>
      <c r="H2755">
        <v>0</v>
      </c>
    </row>
    <row r="2757" spans="1:10" x14ac:dyDescent="0.25">
      <c r="A2757" t="s">
        <v>524</v>
      </c>
      <c r="B2757" t="s">
        <v>525</v>
      </c>
    </row>
    <row r="2758" spans="1:10" x14ac:dyDescent="0.25">
      <c r="A2758" t="s">
        <v>18</v>
      </c>
      <c r="B2758" t="s">
        <v>526</v>
      </c>
    </row>
    <row r="2759" spans="1:10" x14ac:dyDescent="0.25">
      <c r="A2759" t="s">
        <v>527</v>
      </c>
      <c r="B2759" t="s">
        <v>530</v>
      </c>
      <c r="C2759">
        <v>0</v>
      </c>
      <c r="D2759">
        <v>0</v>
      </c>
      <c r="E2759">
        <v>0</v>
      </c>
      <c r="F2759">
        <v>0</v>
      </c>
      <c r="G2759">
        <v>0</v>
      </c>
      <c r="H2759">
        <v>0</v>
      </c>
      <c r="I2759" t="s">
        <v>22</v>
      </c>
      <c r="J2759" t="s">
        <v>22</v>
      </c>
    </row>
    <row r="2760" spans="1:10" x14ac:dyDescent="0.25">
      <c r="A2760" t="s">
        <v>1842</v>
      </c>
      <c r="B2760" t="s">
        <v>1843</v>
      </c>
      <c r="C2760" s="2">
        <v>4002</v>
      </c>
      <c r="D2760" s="2">
        <v>-5508</v>
      </c>
      <c r="E2760">
        <v>0</v>
      </c>
      <c r="F2760">
        <v>0</v>
      </c>
      <c r="G2760">
        <v>0</v>
      </c>
      <c r="H2760">
        <v>0</v>
      </c>
      <c r="I2760" t="s">
        <v>22</v>
      </c>
      <c r="J2760" t="s">
        <v>22</v>
      </c>
    </row>
    <row r="2761" spans="1:10" x14ac:dyDescent="0.25">
      <c r="A2761" t="s">
        <v>529</v>
      </c>
      <c r="B2761" t="s">
        <v>1844</v>
      </c>
      <c r="C2761">
        <v>0</v>
      </c>
      <c r="D2761">
        <v>0</v>
      </c>
      <c r="E2761">
        <v>0</v>
      </c>
      <c r="F2761">
        <v>0</v>
      </c>
      <c r="G2761">
        <v>0</v>
      </c>
      <c r="H2761">
        <v>0</v>
      </c>
      <c r="I2761" t="s">
        <v>22</v>
      </c>
      <c r="J2761" t="s">
        <v>22</v>
      </c>
    </row>
    <row r="2762" spans="1:10" x14ac:dyDescent="0.25">
      <c r="C2762" t="s">
        <v>108</v>
      </c>
      <c r="D2762" t="s">
        <v>108</v>
      </c>
      <c r="E2762" t="s">
        <v>108</v>
      </c>
      <c r="F2762" t="s">
        <v>108</v>
      </c>
      <c r="G2762" t="s">
        <v>108</v>
      </c>
    </row>
    <row r="2763" spans="1:10" x14ac:dyDescent="0.25">
      <c r="H2763" t="s">
        <v>22</v>
      </c>
      <c r="I2763" t="s">
        <v>22</v>
      </c>
      <c r="J2763" t="s">
        <v>22</v>
      </c>
    </row>
    <row r="2764" spans="1:10" x14ac:dyDescent="0.25">
      <c r="A2764" t="s">
        <v>109</v>
      </c>
    </row>
    <row r="2765" spans="1:10" x14ac:dyDescent="0.25">
      <c r="B2765" t="s">
        <v>530</v>
      </c>
      <c r="C2765" s="2">
        <v>4002</v>
      </c>
      <c r="D2765" s="2">
        <v>-5508</v>
      </c>
      <c r="E2765">
        <v>0</v>
      </c>
      <c r="F2765">
        <v>0</v>
      </c>
      <c r="G2765">
        <v>0</v>
      </c>
      <c r="H2765">
        <v>0</v>
      </c>
    </row>
    <row r="2766" spans="1:10" x14ac:dyDescent="0.25">
      <c r="A2766" t="s">
        <v>18</v>
      </c>
      <c r="B2766" t="s">
        <v>19</v>
      </c>
      <c r="C2766" t="s">
        <v>20</v>
      </c>
      <c r="D2766" t="s">
        <v>21</v>
      </c>
      <c r="E2766" t="s">
        <v>26</v>
      </c>
    </row>
    <row r="2767" spans="1:10" x14ac:dyDescent="0.25">
      <c r="E2767" t="s">
        <v>339</v>
      </c>
      <c r="F2767" t="s">
        <v>23</v>
      </c>
      <c r="G2767" t="s">
        <v>24</v>
      </c>
      <c r="H2767" t="s">
        <v>20</v>
      </c>
      <c r="I2767" t="s">
        <v>24</v>
      </c>
      <c r="J2767" t="s">
        <v>20</v>
      </c>
    </row>
    <row r="2768" spans="1:10" x14ac:dyDescent="0.25">
      <c r="A2768" t="s">
        <v>109</v>
      </c>
    </row>
    <row r="2769" spans="1:10" x14ac:dyDescent="0.25">
      <c r="A2769" t="s">
        <v>1845</v>
      </c>
      <c r="B2769" t="s">
        <v>1846</v>
      </c>
      <c r="C2769" s="2">
        <v>415919</v>
      </c>
      <c r="D2769" s="2">
        <v>451208</v>
      </c>
      <c r="E2769" s="2">
        <v>588163</v>
      </c>
      <c r="F2769" s="2">
        <v>679274</v>
      </c>
      <c r="G2769" s="2">
        <v>398041</v>
      </c>
      <c r="H2769">
        <v>0</v>
      </c>
    </row>
    <row r="2771" spans="1:10" x14ac:dyDescent="0.25">
      <c r="A2771" t="s">
        <v>1847</v>
      </c>
      <c r="B2771" t="s">
        <v>1800</v>
      </c>
    </row>
    <row r="2772" spans="1:10" x14ac:dyDescent="0.25">
      <c r="A2772" t="s">
        <v>389</v>
      </c>
      <c r="B2772" t="s">
        <v>567</v>
      </c>
    </row>
    <row r="2774" spans="1:10" x14ac:dyDescent="0.25">
      <c r="A2774" t="s">
        <v>391</v>
      </c>
      <c r="B2774" t="s">
        <v>392</v>
      </c>
    </row>
    <row r="2775" spans="1:10" x14ac:dyDescent="0.25">
      <c r="A2775" t="s">
        <v>18</v>
      </c>
      <c r="B2775" t="s">
        <v>228</v>
      </c>
    </row>
    <row r="2776" spans="1:10" x14ac:dyDescent="0.25">
      <c r="A2776" t="s">
        <v>1848</v>
      </c>
      <c r="B2776" t="s">
        <v>418</v>
      </c>
      <c r="C2776">
        <v>0</v>
      </c>
      <c r="D2776">
        <v>0</v>
      </c>
      <c r="E2776">
        <v>0</v>
      </c>
      <c r="F2776">
        <v>0</v>
      </c>
      <c r="G2776">
        <v>0</v>
      </c>
      <c r="H2776">
        <v>0</v>
      </c>
      <c r="I2776" t="s">
        <v>22</v>
      </c>
      <c r="J2776" t="s">
        <v>22</v>
      </c>
    </row>
    <row r="2777" spans="1:10" x14ac:dyDescent="0.25">
      <c r="C2777" t="s">
        <v>108</v>
      </c>
      <c r="D2777" t="s">
        <v>108</v>
      </c>
      <c r="E2777" t="s">
        <v>108</v>
      </c>
      <c r="F2777" t="s">
        <v>108</v>
      </c>
      <c r="G2777" t="s">
        <v>108</v>
      </c>
    </row>
    <row r="2778" spans="1:10" x14ac:dyDescent="0.25">
      <c r="H2778" t="s">
        <v>22</v>
      </c>
      <c r="I2778" t="s">
        <v>22</v>
      </c>
      <c r="J2778" t="s">
        <v>22</v>
      </c>
    </row>
    <row r="2779" spans="1:10" x14ac:dyDescent="0.25">
      <c r="A2779" t="s">
        <v>109</v>
      </c>
    </row>
    <row r="2780" spans="1:10" x14ac:dyDescent="0.25">
      <c r="B2780" t="s">
        <v>441</v>
      </c>
      <c r="C2780">
        <v>0</v>
      </c>
      <c r="D2780">
        <v>0</v>
      </c>
      <c r="E2780">
        <v>0</v>
      </c>
      <c r="F2780">
        <v>0</v>
      </c>
      <c r="G2780">
        <v>0</v>
      </c>
      <c r="H2780">
        <v>0</v>
      </c>
    </row>
    <row r="2781" spans="1:10" x14ac:dyDescent="0.25">
      <c r="A2781" t="s">
        <v>18</v>
      </c>
      <c r="B2781" t="s">
        <v>19</v>
      </c>
      <c r="C2781" t="s">
        <v>20</v>
      </c>
      <c r="D2781" t="s">
        <v>21</v>
      </c>
      <c r="E2781" t="s">
        <v>26</v>
      </c>
    </row>
    <row r="2782" spans="1:10" x14ac:dyDescent="0.25">
      <c r="E2782" t="s">
        <v>339</v>
      </c>
      <c r="F2782" t="s">
        <v>23</v>
      </c>
      <c r="G2782" t="s">
        <v>24</v>
      </c>
      <c r="H2782" t="s">
        <v>20</v>
      </c>
      <c r="I2782" t="s">
        <v>24</v>
      </c>
      <c r="J2782" t="s">
        <v>20</v>
      </c>
    </row>
    <row r="2783" spans="1:10" x14ac:dyDescent="0.25">
      <c r="A2783" t="s">
        <v>109</v>
      </c>
    </row>
    <row r="2784" spans="1:10" x14ac:dyDescent="0.25">
      <c r="A2784" t="s">
        <v>1849</v>
      </c>
      <c r="B2784" t="s">
        <v>1846</v>
      </c>
      <c r="C2784">
        <v>0</v>
      </c>
      <c r="D2784">
        <v>0</v>
      </c>
      <c r="E2784">
        <v>0</v>
      </c>
      <c r="F2784">
        <v>0</v>
      </c>
      <c r="G2784">
        <v>0</v>
      </c>
      <c r="H2784">
        <v>0</v>
      </c>
    </row>
    <row r="2785" spans="1:10" x14ac:dyDescent="0.25">
      <c r="A2785" t="s">
        <v>110</v>
      </c>
    </row>
    <row r="2786" spans="1:10" x14ac:dyDescent="0.25">
      <c r="A2786" s="1">
        <v>43991</v>
      </c>
      <c r="B2786" t="s">
        <v>1615</v>
      </c>
      <c r="D2786" t="s">
        <v>112</v>
      </c>
      <c r="E2786" t="s">
        <v>113</v>
      </c>
      <c r="F2786" t="s">
        <v>114</v>
      </c>
      <c r="J2786" t="s">
        <v>385</v>
      </c>
    </row>
    <row r="2787" spans="1:10" x14ac:dyDescent="0.25">
      <c r="D2787" t="s">
        <v>116</v>
      </c>
      <c r="E2787" t="s">
        <v>117</v>
      </c>
      <c r="F2787" t="s">
        <v>118</v>
      </c>
    </row>
    <row r="2788" spans="1:10" x14ac:dyDescent="0.25">
      <c r="D2788" t="s">
        <v>119</v>
      </c>
      <c r="E2788" t="s">
        <v>120</v>
      </c>
      <c r="F2788" t="s">
        <v>121</v>
      </c>
    </row>
    <row r="2789" spans="1:10" x14ac:dyDescent="0.25">
      <c r="A2789" t="s">
        <v>1713</v>
      </c>
      <c r="B2789" t="s">
        <v>1714</v>
      </c>
    </row>
    <row r="2790" spans="1:10" x14ac:dyDescent="0.25">
      <c r="A2790" t="s">
        <v>386</v>
      </c>
    </row>
    <row r="2791" spans="1:10" x14ac:dyDescent="0.25">
      <c r="F2791" t="s">
        <v>2</v>
      </c>
      <c r="G2791" t="s">
        <v>3</v>
      </c>
      <c r="H2791" t="s">
        <v>4</v>
      </c>
      <c r="I2791" t="s">
        <v>5</v>
      </c>
      <c r="J2791" t="s">
        <v>6</v>
      </c>
    </row>
    <row r="2792" spans="1:10" x14ac:dyDescent="0.25">
      <c r="C2792" t="s">
        <v>7</v>
      </c>
      <c r="D2792" t="s">
        <v>8</v>
      </c>
      <c r="E2792" t="s">
        <v>9</v>
      </c>
      <c r="F2792" t="s">
        <v>10</v>
      </c>
      <c r="G2792" t="s">
        <v>124</v>
      </c>
      <c r="H2792" t="s">
        <v>12</v>
      </c>
      <c r="I2792" t="s">
        <v>13</v>
      </c>
      <c r="J2792" t="s">
        <v>14</v>
      </c>
    </row>
    <row r="2793" spans="1:10" x14ac:dyDescent="0.25">
      <c r="C2793" t="s">
        <v>15</v>
      </c>
      <c r="D2793" t="s">
        <v>15</v>
      </c>
      <c r="E2793" t="s">
        <v>15</v>
      </c>
      <c r="F2793" t="s">
        <v>16</v>
      </c>
      <c r="G2793" t="s">
        <v>15</v>
      </c>
      <c r="H2793" t="s">
        <v>17</v>
      </c>
      <c r="I2793" t="s">
        <v>16</v>
      </c>
      <c r="J2793" t="s">
        <v>16</v>
      </c>
    </row>
    <row r="2794" spans="1:10" x14ac:dyDescent="0.25">
      <c r="A2794" t="s">
        <v>18</v>
      </c>
      <c r="B2794" t="s">
        <v>19</v>
      </c>
      <c r="C2794" t="s">
        <v>20</v>
      </c>
      <c r="D2794" t="s">
        <v>21</v>
      </c>
      <c r="E2794" t="s">
        <v>22</v>
      </c>
      <c r="F2794" t="s">
        <v>23</v>
      </c>
      <c r="G2794" t="s">
        <v>24</v>
      </c>
      <c r="H2794" t="s">
        <v>20</v>
      </c>
      <c r="I2794" t="s">
        <v>24</v>
      </c>
      <c r="J2794" t="s">
        <v>20</v>
      </c>
    </row>
    <row r="2796" spans="1:10" x14ac:dyDescent="0.25">
      <c r="A2796" t="s">
        <v>1850</v>
      </c>
      <c r="B2796" t="s">
        <v>1851</v>
      </c>
    </row>
    <row r="2797" spans="1:10" x14ac:dyDescent="0.25">
      <c r="A2797" t="s">
        <v>389</v>
      </c>
      <c r="B2797" t="s">
        <v>389</v>
      </c>
    </row>
    <row r="2799" spans="1:10" x14ac:dyDescent="0.25">
      <c r="A2799" t="s">
        <v>391</v>
      </c>
      <c r="B2799" t="s">
        <v>392</v>
      </c>
    </row>
    <row r="2800" spans="1:10" x14ac:dyDescent="0.25">
      <c r="A2800" t="s">
        <v>18</v>
      </c>
      <c r="B2800" t="s">
        <v>228</v>
      </c>
    </row>
    <row r="2801" spans="1:10" x14ac:dyDescent="0.25">
      <c r="A2801" t="s">
        <v>1192</v>
      </c>
      <c r="B2801" t="s">
        <v>569</v>
      </c>
      <c r="C2801" s="2">
        <v>-9213</v>
      </c>
      <c r="D2801" s="2">
        <v>2391</v>
      </c>
      <c r="E2801">
        <v>0</v>
      </c>
      <c r="F2801">
        <v>0</v>
      </c>
      <c r="G2801">
        <v>0</v>
      </c>
      <c r="H2801">
        <v>0</v>
      </c>
      <c r="I2801" t="s">
        <v>22</v>
      </c>
      <c r="J2801" t="s">
        <v>22</v>
      </c>
    </row>
    <row r="2802" spans="1:10" x14ac:dyDescent="0.25">
      <c r="A2802" t="s">
        <v>1193</v>
      </c>
      <c r="B2802" t="s">
        <v>396</v>
      </c>
      <c r="C2802">
        <v>72</v>
      </c>
      <c r="D2802">
        <v>86</v>
      </c>
      <c r="E2802">
        <v>650</v>
      </c>
      <c r="F2802" s="2">
        <v>2016</v>
      </c>
      <c r="G2802">
        <v>63</v>
      </c>
      <c r="H2802">
        <v>0</v>
      </c>
      <c r="I2802" t="s">
        <v>22</v>
      </c>
      <c r="J2802" t="s">
        <v>22</v>
      </c>
    </row>
    <row r="2803" spans="1:10" x14ac:dyDescent="0.25">
      <c r="A2803" t="s">
        <v>1194</v>
      </c>
      <c r="B2803" t="s">
        <v>398</v>
      </c>
      <c r="C2803" s="2">
        <v>14647</v>
      </c>
      <c r="D2803" s="2">
        <v>20978</v>
      </c>
      <c r="E2803" s="2">
        <v>18246</v>
      </c>
      <c r="F2803" s="2">
        <v>26756</v>
      </c>
      <c r="G2803" s="2">
        <v>15117</v>
      </c>
      <c r="H2803">
        <v>0</v>
      </c>
      <c r="I2803" t="s">
        <v>22</v>
      </c>
      <c r="J2803" t="s">
        <v>22</v>
      </c>
    </row>
    <row r="2804" spans="1:10" x14ac:dyDescent="0.25">
      <c r="A2804" t="s">
        <v>1195</v>
      </c>
      <c r="B2804" t="s">
        <v>400</v>
      </c>
      <c r="C2804" s="2">
        <v>14556</v>
      </c>
      <c r="D2804" s="2">
        <v>21120</v>
      </c>
      <c r="E2804" s="2">
        <v>21470</v>
      </c>
      <c r="F2804" s="2">
        <v>33191</v>
      </c>
      <c r="G2804" s="2">
        <v>16606</v>
      </c>
      <c r="H2804">
        <v>0</v>
      </c>
      <c r="I2804" t="s">
        <v>22</v>
      </c>
      <c r="J2804" t="s">
        <v>22</v>
      </c>
    </row>
    <row r="2805" spans="1:10" x14ac:dyDescent="0.25">
      <c r="A2805" t="s">
        <v>1196</v>
      </c>
      <c r="B2805" t="s">
        <v>574</v>
      </c>
      <c r="C2805" s="2">
        <v>45604</v>
      </c>
      <c r="D2805" s="2">
        <v>51782</v>
      </c>
      <c r="E2805" s="2">
        <v>66573</v>
      </c>
      <c r="F2805" s="2">
        <v>106884</v>
      </c>
      <c r="G2805" s="2">
        <v>51958</v>
      </c>
      <c r="H2805">
        <v>0</v>
      </c>
      <c r="I2805" t="s">
        <v>22</v>
      </c>
      <c r="J2805" t="s">
        <v>22</v>
      </c>
    </row>
    <row r="2806" spans="1:10" x14ac:dyDescent="0.25">
      <c r="A2806" t="s">
        <v>1197</v>
      </c>
      <c r="B2806" t="s">
        <v>404</v>
      </c>
      <c r="C2806" s="2">
        <v>2655</v>
      </c>
      <c r="D2806" s="2">
        <v>3354</v>
      </c>
      <c r="E2806" s="2">
        <v>3456</v>
      </c>
      <c r="F2806" s="2">
        <v>5232</v>
      </c>
      <c r="G2806" s="2">
        <v>2542</v>
      </c>
      <c r="H2806">
        <v>0</v>
      </c>
      <c r="I2806" t="s">
        <v>22</v>
      </c>
      <c r="J2806" t="s">
        <v>22</v>
      </c>
    </row>
    <row r="2807" spans="1:10" x14ac:dyDescent="0.25">
      <c r="A2807" t="s">
        <v>1198</v>
      </c>
      <c r="B2807" t="s">
        <v>406</v>
      </c>
      <c r="C2807" s="2">
        <v>6882</v>
      </c>
      <c r="D2807" s="2">
        <v>5777</v>
      </c>
      <c r="E2807" s="2">
        <v>7408</v>
      </c>
      <c r="F2807" s="2">
        <v>8149</v>
      </c>
      <c r="G2807" s="2">
        <v>7578</v>
      </c>
      <c r="H2807">
        <v>0</v>
      </c>
      <c r="I2807" t="s">
        <v>22</v>
      </c>
      <c r="J2807" t="s">
        <v>22</v>
      </c>
    </row>
    <row r="2808" spans="1:10" x14ac:dyDescent="0.25">
      <c r="A2808" t="s">
        <v>1199</v>
      </c>
      <c r="B2808" t="s">
        <v>1852</v>
      </c>
      <c r="C2808" s="2">
        <v>31979</v>
      </c>
      <c r="D2808" s="2">
        <v>36446</v>
      </c>
      <c r="E2808" s="2">
        <v>40555</v>
      </c>
      <c r="F2808" s="2">
        <v>42588</v>
      </c>
      <c r="G2808" s="2">
        <v>29375</v>
      </c>
      <c r="H2808">
        <v>0</v>
      </c>
      <c r="I2808" t="s">
        <v>22</v>
      </c>
      <c r="J2808" t="s">
        <v>22</v>
      </c>
    </row>
    <row r="2809" spans="1:10" x14ac:dyDescent="0.25">
      <c r="A2809" t="s">
        <v>1853</v>
      </c>
      <c r="B2809" t="s">
        <v>1854</v>
      </c>
      <c r="C2809">
        <v>0</v>
      </c>
      <c r="D2809" s="2">
        <v>78606</v>
      </c>
      <c r="E2809" s="2">
        <v>48571</v>
      </c>
      <c r="F2809" s="2">
        <v>75574</v>
      </c>
      <c r="G2809" s="2">
        <v>52043</v>
      </c>
      <c r="H2809">
        <v>0</v>
      </c>
      <c r="I2809" t="s">
        <v>22</v>
      </c>
      <c r="J2809" t="s">
        <v>22</v>
      </c>
    </row>
    <row r="2810" spans="1:10" x14ac:dyDescent="0.25">
      <c r="A2810" t="s">
        <v>1855</v>
      </c>
      <c r="B2810" t="s">
        <v>1856</v>
      </c>
      <c r="C2810" s="2">
        <v>85203</v>
      </c>
      <c r="D2810" s="2">
        <v>141651</v>
      </c>
      <c r="E2810" s="2">
        <v>141792</v>
      </c>
      <c r="F2810" s="2">
        <v>232818</v>
      </c>
      <c r="G2810" s="2">
        <v>113872</v>
      </c>
      <c r="H2810">
        <v>0</v>
      </c>
      <c r="I2810" t="s">
        <v>22</v>
      </c>
      <c r="J2810" t="s">
        <v>22</v>
      </c>
    </row>
    <row r="2811" spans="1:10" x14ac:dyDescent="0.25">
      <c r="A2811" t="s">
        <v>1857</v>
      </c>
      <c r="B2811" t="s">
        <v>1858</v>
      </c>
      <c r="C2811">
        <v>0</v>
      </c>
      <c r="D2811">
        <v>0</v>
      </c>
      <c r="E2811">
        <v>0</v>
      </c>
      <c r="F2811">
        <v>0</v>
      </c>
      <c r="G2811">
        <v>0</v>
      </c>
      <c r="H2811">
        <v>0</v>
      </c>
      <c r="I2811" t="s">
        <v>22</v>
      </c>
      <c r="J2811" t="s">
        <v>22</v>
      </c>
    </row>
    <row r="2812" spans="1:10" x14ac:dyDescent="0.25">
      <c r="A2812" t="s">
        <v>1859</v>
      </c>
      <c r="B2812" t="s">
        <v>1860</v>
      </c>
      <c r="C2812" s="2">
        <v>24523</v>
      </c>
      <c r="D2812">
        <v>0</v>
      </c>
      <c r="E2812">
        <v>0</v>
      </c>
      <c r="F2812">
        <v>0</v>
      </c>
      <c r="G2812">
        <v>0</v>
      </c>
      <c r="H2812">
        <v>0</v>
      </c>
      <c r="I2812" t="s">
        <v>22</v>
      </c>
      <c r="J2812" t="s">
        <v>22</v>
      </c>
    </row>
    <row r="2813" spans="1:10" x14ac:dyDescent="0.25">
      <c r="A2813" t="s">
        <v>1201</v>
      </c>
      <c r="B2813" t="s">
        <v>424</v>
      </c>
      <c r="C2813" s="2">
        <v>1003</v>
      </c>
      <c r="D2813">
        <v>484</v>
      </c>
      <c r="E2813">
        <v>311</v>
      </c>
      <c r="F2813">
        <v>646</v>
      </c>
      <c r="G2813">
        <v>519</v>
      </c>
      <c r="H2813">
        <v>0</v>
      </c>
      <c r="I2813" t="s">
        <v>22</v>
      </c>
      <c r="J2813" t="s">
        <v>22</v>
      </c>
    </row>
    <row r="2814" spans="1:10" x14ac:dyDescent="0.25">
      <c r="A2814" t="s">
        <v>1202</v>
      </c>
      <c r="B2814" t="s">
        <v>426</v>
      </c>
      <c r="C2814" s="2">
        <v>1620</v>
      </c>
      <c r="D2814" s="2">
        <v>1620</v>
      </c>
      <c r="E2814" s="2">
        <v>1215</v>
      </c>
      <c r="F2814" s="2">
        <v>3239</v>
      </c>
      <c r="G2814" s="2">
        <v>2491</v>
      </c>
      <c r="H2814">
        <v>0</v>
      </c>
      <c r="I2814" t="s">
        <v>22</v>
      </c>
      <c r="J2814" t="s">
        <v>22</v>
      </c>
    </row>
    <row r="2815" spans="1:10" x14ac:dyDescent="0.25">
      <c r="A2815" t="s">
        <v>1203</v>
      </c>
      <c r="B2815" t="s">
        <v>598</v>
      </c>
      <c r="C2815">
        <v>900</v>
      </c>
      <c r="D2815" s="2">
        <v>1080</v>
      </c>
      <c r="E2815" s="2">
        <v>1080</v>
      </c>
      <c r="F2815" s="2">
        <v>1440</v>
      </c>
      <c r="G2815" s="2">
        <v>1080</v>
      </c>
      <c r="H2815">
        <v>0</v>
      </c>
      <c r="I2815" t="s">
        <v>22</v>
      </c>
      <c r="J2815" t="s">
        <v>22</v>
      </c>
    </row>
    <row r="2816" spans="1:10" x14ac:dyDescent="0.25">
      <c r="A2816" t="s">
        <v>1205</v>
      </c>
      <c r="B2816" t="s">
        <v>428</v>
      </c>
      <c r="C2816">
        <v>415</v>
      </c>
      <c r="D2816">
        <v>277</v>
      </c>
      <c r="E2816">
        <v>0</v>
      </c>
      <c r="F2816">
        <v>0</v>
      </c>
      <c r="G2816">
        <v>0</v>
      </c>
      <c r="H2816">
        <v>0</v>
      </c>
      <c r="I2816" t="s">
        <v>22</v>
      </c>
      <c r="J2816" t="s">
        <v>22</v>
      </c>
    </row>
    <row r="2817" spans="1:10" x14ac:dyDescent="0.25">
      <c r="A2817" t="s">
        <v>1206</v>
      </c>
      <c r="B2817" t="s">
        <v>430</v>
      </c>
      <c r="C2817">
        <v>173</v>
      </c>
      <c r="D2817">
        <v>208</v>
      </c>
      <c r="E2817">
        <v>173</v>
      </c>
      <c r="F2817">
        <v>277</v>
      </c>
      <c r="G2817">
        <v>208</v>
      </c>
      <c r="H2817">
        <v>0</v>
      </c>
      <c r="I2817" t="s">
        <v>22</v>
      </c>
      <c r="J2817" t="s">
        <v>22</v>
      </c>
    </row>
    <row r="2818" spans="1:10" x14ac:dyDescent="0.25">
      <c r="A2818" t="s">
        <v>1207</v>
      </c>
      <c r="B2818" t="s">
        <v>432</v>
      </c>
      <c r="C2818" s="2">
        <v>5468</v>
      </c>
      <c r="D2818" s="2">
        <v>14120</v>
      </c>
      <c r="E2818" s="2">
        <v>7478</v>
      </c>
      <c r="F2818" s="2">
        <v>8000</v>
      </c>
      <c r="G2818" s="2">
        <v>2605</v>
      </c>
      <c r="H2818">
        <v>0</v>
      </c>
      <c r="I2818" t="s">
        <v>22</v>
      </c>
      <c r="J2818" t="s">
        <v>22</v>
      </c>
    </row>
    <row r="2819" spans="1:10" x14ac:dyDescent="0.25">
      <c r="A2819" t="s">
        <v>1861</v>
      </c>
      <c r="B2819" t="s">
        <v>434</v>
      </c>
      <c r="C2819">
        <v>0</v>
      </c>
      <c r="D2819">
        <v>0</v>
      </c>
      <c r="E2819">
        <v>0</v>
      </c>
      <c r="F2819">
        <v>0</v>
      </c>
      <c r="G2819">
        <v>0</v>
      </c>
      <c r="H2819">
        <v>0</v>
      </c>
      <c r="I2819" t="s">
        <v>22</v>
      </c>
      <c r="J2819" t="s">
        <v>22</v>
      </c>
    </row>
    <row r="2820" spans="1:10" x14ac:dyDescent="0.25">
      <c r="A2820" t="s">
        <v>1218</v>
      </c>
      <c r="B2820" t="s">
        <v>436</v>
      </c>
      <c r="C2820">
        <v>0</v>
      </c>
      <c r="D2820">
        <v>0</v>
      </c>
      <c r="E2820">
        <v>0</v>
      </c>
      <c r="F2820">
        <v>0</v>
      </c>
      <c r="G2820">
        <v>0</v>
      </c>
      <c r="H2820">
        <v>0</v>
      </c>
      <c r="I2820" t="s">
        <v>22</v>
      </c>
      <c r="J2820" t="s">
        <v>22</v>
      </c>
    </row>
    <row r="2821" spans="1:10" x14ac:dyDescent="0.25">
      <c r="A2821" t="s">
        <v>1219</v>
      </c>
      <c r="B2821" t="s">
        <v>607</v>
      </c>
      <c r="C2821">
        <v>0</v>
      </c>
      <c r="D2821">
        <v>0</v>
      </c>
      <c r="E2821">
        <v>0</v>
      </c>
      <c r="F2821">
        <v>0</v>
      </c>
      <c r="G2821">
        <v>0</v>
      </c>
      <c r="H2821">
        <v>0</v>
      </c>
      <c r="I2821" t="s">
        <v>22</v>
      </c>
      <c r="J2821" t="s">
        <v>22</v>
      </c>
    </row>
    <row r="2822" spans="1:10" x14ac:dyDescent="0.25">
      <c r="C2822" t="s">
        <v>108</v>
      </c>
      <c r="D2822" t="s">
        <v>108</v>
      </c>
      <c r="E2822" t="s">
        <v>108</v>
      </c>
      <c r="F2822" t="s">
        <v>108</v>
      </c>
      <c r="G2822" t="s">
        <v>108</v>
      </c>
    </row>
    <row r="2823" spans="1:10" x14ac:dyDescent="0.25">
      <c r="H2823" t="s">
        <v>22</v>
      </c>
      <c r="I2823" t="s">
        <v>22</v>
      </c>
      <c r="J2823" t="s">
        <v>22</v>
      </c>
    </row>
    <row r="2824" spans="1:10" x14ac:dyDescent="0.25">
      <c r="A2824" t="s">
        <v>109</v>
      </c>
    </row>
    <row r="2825" spans="1:10" x14ac:dyDescent="0.25">
      <c r="B2825" t="s">
        <v>441</v>
      </c>
      <c r="C2825" s="2">
        <v>226488</v>
      </c>
      <c r="D2825" s="2">
        <v>379979</v>
      </c>
      <c r="E2825" s="2">
        <v>358978</v>
      </c>
      <c r="F2825" s="2">
        <v>546810</v>
      </c>
      <c r="G2825" s="2">
        <v>296058</v>
      </c>
      <c r="H2825">
        <v>0</v>
      </c>
    </row>
    <row r="2827" spans="1:10" x14ac:dyDescent="0.25">
      <c r="A2827" t="s">
        <v>442</v>
      </c>
      <c r="B2827" t="s">
        <v>443</v>
      </c>
    </row>
    <row r="2828" spans="1:10" x14ac:dyDescent="0.25">
      <c r="A2828" t="s">
        <v>18</v>
      </c>
      <c r="B2828" t="s">
        <v>21</v>
      </c>
    </row>
    <row r="2829" spans="1:10" x14ac:dyDescent="0.25">
      <c r="A2829" t="s">
        <v>1222</v>
      </c>
      <c r="B2829" t="s">
        <v>445</v>
      </c>
      <c r="C2829" s="2">
        <v>6134</v>
      </c>
      <c r="D2829" s="2">
        <v>5483</v>
      </c>
      <c r="E2829" s="2">
        <v>1775</v>
      </c>
      <c r="F2829" s="2">
        <v>1953</v>
      </c>
      <c r="G2829" s="2">
        <v>6400</v>
      </c>
      <c r="H2829">
        <v>0</v>
      </c>
      <c r="I2829" t="s">
        <v>22</v>
      </c>
      <c r="J2829" t="s">
        <v>22</v>
      </c>
    </row>
    <row r="2830" spans="1:10" x14ac:dyDescent="0.25">
      <c r="A2830" t="s">
        <v>1225</v>
      </c>
      <c r="B2830" t="s">
        <v>447</v>
      </c>
      <c r="C2830" s="2">
        <v>4557</v>
      </c>
      <c r="D2830" s="2">
        <v>1925</v>
      </c>
      <c r="E2830" s="2">
        <v>1149</v>
      </c>
      <c r="F2830" s="2">
        <v>5000</v>
      </c>
      <c r="G2830" s="2">
        <v>1039</v>
      </c>
      <c r="H2830">
        <v>0</v>
      </c>
      <c r="I2830" t="s">
        <v>22</v>
      </c>
      <c r="J2830" t="s">
        <v>22</v>
      </c>
    </row>
    <row r="2831" spans="1:10" x14ac:dyDescent="0.25">
      <c r="A2831" t="s">
        <v>1226</v>
      </c>
      <c r="B2831" t="s">
        <v>449</v>
      </c>
      <c r="C2831">
        <v>0</v>
      </c>
      <c r="D2831">
        <v>0</v>
      </c>
      <c r="E2831">
        <v>662</v>
      </c>
      <c r="F2831" s="2">
        <v>1500</v>
      </c>
      <c r="G2831">
        <v>0</v>
      </c>
      <c r="H2831">
        <v>0</v>
      </c>
      <c r="I2831" t="s">
        <v>22</v>
      </c>
      <c r="J2831" t="s">
        <v>22</v>
      </c>
    </row>
    <row r="2832" spans="1:10" x14ac:dyDescent="0.25">
      <c r="A2832" t="s">
        <v>1227</v>
      </c>
      <c r="B2832" t="s">
        <v>451</v>
      </c>
      <c r="C2832">
        <v>851</v>
      </c>
      <c r="D2832">
        <v>100</v>
      </c>
      <c r="E2832" s="2">
        <v>1113</v>
      </c>
      <c r="F2832" s="2">
        <v>2000</v>
      </c>
      <c r="G2832">
        <v>178</v>
      </c>
      <c r="H2832">
        <v>0</v>
      </c>
      <c r="I2832" t="s">
        <v>22</v>
      </c>
      <c r="J2832" t="s">
        <v>22</v>
      </c>
    </row>
    <row r="2833" spans="1:10" x14ac:dyDescent="0.25">
      <c r="A2833" t="s">
        <v>1862</v>
      </c>
      <c r="B2833" t="s">
        <v>453</v>
      </c>
      <c r="C2833">
        <v>0</v>
      </c>
      <c r="D2833">
        <v>0</v>
      </c>
      <c r="E2833">
        <v>0</v>
      </c>
      <c r="F2833">
        <v>0</v>
      </c>
      <c r="G2833">
        <v>0</v>
      </c>
      <c r="H2833">
        <v>0</v>
      </c>
      <c r="I2833" t="s">
        <v>22</v>
      </c>
      <c r="J2833" t="s">
        <v>22</v>
      </c>
    </row>
    <row r="2834" spans="1:10" x14ac:dyDescent="0.25">
      <c r="A2834" t="s">
        <v>1228</v>
      </c>
      <c r="B2834" t="s">
        <v>457</v>
      </c>
      <c r="C2834">
        <v>0</v>
      </c>
      <c r="D2834">
        <v>465</v>
      </c>
      <c r="E2834">
        <v>465</v>
      </c>
      <c r="F2834" s="2">
        <v>1500</v>
      </c>
      <c r="G2834">
        <v>0</v>
      </c>
      <c r="H2834">
        <v>0</v>
      </c>
      <c r="I2834" t="s">
        <v>22</v>
      </c>
      <c r="J2834" t="s">
        <v>22</v>
      </c>
    </row>
    <row r="2835" spans="1:10" x14ac:dyDescent="0.25">
      <c r="A2835" t="s">
        <v>1231</v>
      </c>
      <c r="B2835" t="s">
        <v>465</v>
      </c>
      <c r="C2835">
        <v>0</v>
      </c>
      <c r="D2835" s="2">
        <v>2305</v>
      </c>
      <c r="E2835" s="2">
        <v>87476</v>
      </c>
      <c r="F2835" s="2">
        <v>161584</v>
      </c>
      <c r="G2835" s="2">
        <v>61643</v>
      </c>
      <c r="H2835">
        <v>0</v>
      </c>
      <c r="I2835" t="s">
        <v>22</v>
      </c>
      <c r="J2835" t="s">
        <v>22</v>
      </c>
    </row>
    <row r="2836" spans="1:10" x14ac:dyDescent="0.25">
      <c r="A2836" t="s">
        <v>1233</v>
      </c>
      <c r="B2836" t="s">
        <v>471</v>
      </c>
      <c r="C2836">
        <v>979</v>
      </c>
      <c r="D2836" s="2">
        <v>1493</v>
      </c>
      <c r="E2836" s="2">
        <v>1547</v>
      </c>
      <c r="F2836" s="2">
        <v>1600</v>
      </c>
      <c r="G2836">
        <v>774</v>
      </c>
      <c r="H2836">
        <v>0</v>
      </c>
      <c r="I2836" t="s">
        <v>22</v>
      </c>
      <c r="J2836" t="s">
        <v>22</v>
      </c>
    </row>
    <row r="2837" spans="1:10" x14ac:dyDescent="0.25">
      <c r="A2837" t="s">
        <v>1234</v>
      </c>
      <c r="B2837" t="s">
        <v>1047</v>
      </c>
      <c r="C2837" s="2">
        <v>5265</v>
      </c>
      <c r="D2837" s="2">
        <v>5451</v>
      </c>
      <c r="E2837" s="2">
        <v>4745</v>
      </c>
      <c r="F2837" s="2">
        <v>8000</v>
      </c>
      <c r="G2837" s="2">
        <v>2981</v>
      </c>
      <c r="H2837">
        <v>0</v>
      </c>
      <c r="I2837" t="s">
        <v>22</v>
      </c>
      <c r="J2837" t="s">
        <v>22</v>
      </c>
    </row>
    <row r="2838" spans="1:10" x14ac:dyDescent="0.25">
      <c r="A2838" t="s">
        <v>1235</v>
      </c>
      <c r="B2838" t="s">
        <v>1863</v>
      </c>
      <c r="C2838" s="2">
        <v>2283</v>
      </c>
      <c r="D2838" s="2">
        <v>2581</v>
      </c>
      <c r="E2838" s="2">
        <v>1884</v>
      </c>
      <c r="F2838" s="2">
        <v>6500</v>
      </c>
      <c r="G2838" s="2">
        <v>1670</v>
      </c>
      <c r="H2838">
        <v>0</v>
      </c>
      <c r="I2838" t="s">
        <v>22</v>
      </c>
      <c r="J2838" t="s">
        <v>22</v>
      </c>
    </row>
    <row r="2839" spans="1:10" x14ac:dyDescent="0.25">
      <c r="A2839" t="s">
        <v>1864</v>
      </c>
      <c r="B2839" t="s">
        <v>1865</v>
      </c>
      <c r="C2839" s="2">
        <v>1134</v>
      </c>
      <c r="D2839">
        <v>923</v>
      </c>
      <c r="E2839">
        <v>695</v>
      </c>
      <c r="F2839" s="2">
        <v>3000</v>
      </c>
      <c r="G2839" s="2">
        <v>1198</v>
      </c>
      <c r="H2839">
        <v>0</v>
      </c>
      <c r="I2839" t="s">
        <v>22</v>
      </c>
      <c r="J2839" t="s">
        <v>22</v>
      </c>
    </row>
    <row r="2840" spans="1:10" x14ac:dyDescent="0.25">
      <c r="A2840" t="s">
        <v>1866</v>
      </c>
      <c r="B2840" t="s">
        <v>1867</v>
      </c>
      <c r="C2840">
        <v>0</v>
      </c>
      <c r="D2840" s="2">
        <v>9556</v>
      </c>
      <c r="E2840">
        <v>152</v>
      </c>
      <c r="F2840" s="2">
        <v>3000</v>
      </c>
      <c r="G2840">
        <v>0</v>
      </c>
      <c r="H2840">
        <v>0</v>
      </c>
      <c r="I2840" t="s">
        <v>22</v>
      </c>
      <c r="J2840" t="s">
        <v>22</v>
      </c>
    </row>
    <row r="2841" spans="1:10" x14ac:dyDescent="0.25">
      <c r="A2841" t="s">
        <v>1237</v>
      </c>
      <c r="B2841" t="s">
        <v>1868</v>
      </c>
      <c r="C2841" s="2">
        <v>34412</v>
      </c>
      <c r="D2841" s="2">
        <v>39051</v>
      </c>
      <c r="E2841" s="2">
        <v>17240</v>
      </c>
      <c r="F2841" s="2">
        <v>20000</v>
      </c>
      <c r="G2841" s="2">
        <v>19880</v>
      </c>
      <c r="H2841">
        <v>0</v>
      </c>
      <c r="I2841" t="s">
        <v>22</v>
      </c>
      <c r="J2841" t="s">
        <v>22</v>
      </c>
    </row>
    <row r="2842" spans="1:10" x14ac:dyDescent="0.25">
      <c r="A2842" t="s">
        <v>1869</v>
      </c>
      <c r="B2842" t="s">
        <v>1870</v>
      </c>
      <c r="C2842" s="2">
        <v>17402</v>
      </c>
      <c r="D2842" s="2">
        <v>15570</v>
      </c>
      <c r="E2842" s="2">
        <v>20372</v>
      </c>
      <c r="F2842" s="2">
        <v>7500</v>
      </c>
      <c r="G2842" s="2">
        <v>6985</v>
      </c>
      <c r="H2842">
        <v>0</v>
      </c>
      <c r="I2842" t="s">
        <v>22</v>
      </c>
      <c r="J2842" t="s">
        <v>22</v>
      </c>
    </row>
    <row r="2843" spans="1:10" x14ac:dyDescent="0.25">
      <c r="A2843" t="s">
        <v>1238</v>
      </c>
      <c r="B2843" t="s">
        <v>1823</v>
      </c>
      <c r="C2843">
        <v>882</v>
      </c>
      <c r="D2843">
        <v>0</v>
      </c>
      <c r="E2843">
        <v>0</v>
      </c>
      <c r="F2843">
        <v>0</v>
      </c>
      <c r="G2843">
        <v>0</v>
      </c>
      <c r="H2843">
        <v>0</v>
      </c>
      <c r="I2843" t="s">
        <v>22</v>
      </c>
      <c r="J2843" t="s">
        <v>22</v>
      </c>
    </row>
    <row r="2844" spans="1:10" x14ac:dyDescent="0.25">
      <c r="A2844" t="s">
        <v>1242</v>
      </c>
      <c r="B2844" t="s">
        <v>626</v>
      </c>
      <c r="C2844" s="2">
        <v>6292</v>
      </c>
      <c r="D2844">
        <v>19</v>
      </c>
      <c r="E2844" s="2">
        <v>1157</v>
      </c>
      <c r="F2844" s="2">
        <v>1500</v>
      </c>
      <c r="G2844" s="2">
        <v>1790</v>
      </c>
      <c r="H2844">
        <v>0</v>
      </c>
      <c r="I2844" t="s">
        <v>22</v>
      </c>
      <c r="J2844" t="s">
        <v>22</v>
      </c>
    </row>
    <row r="2845" spans="1:10" x14ac:dyDescent="0.25">
      <c r="A2845" t="s">
        <v>1247</v>
      </c>
      <c r="B2845" t="s">
        <v>475</v>
      </c>
      <c r="C2845" s="2">
        <v>6091</v>
      </c>
      <c r="D2845" s="2">
        <v>8800</v>
      </c>
      <c r="E2845" s="2">
        <v>1278</v>
      </c>
      <c r="F2845" s="2">
        <v>2500</v>
      </c>
      <c r="G2845">
        <v>553</v>
      </c>
      <c r="H2845">
        <v>0</v>
      </c>
      <c r="I2845" t="s">
        <v>22</v>
      </c>
      <c r="J2845" t="s">
        <v>22</v>
      </c>
    </row>
    <row r="2846" spans="1:10" x14ac:dyDescent="0.25">
      <c r="A2846" t="s">
        <v>1248</v>
      </c>
      <c r="B2846" t="s">
        <v>477</v>
      </c>
      <c r="C2846">
        <v>0</v>
      </c>
      <c r="D2846">
        <v>0</v>
      </c>
      <c r="E2846">
        <v>0</v>
      </c>
      <c r="F2846">
        <v>0</v>
      </c>
      <c r="G2846">
        <v>0</v>
      </c>
      <c r="H2846">
        <v>0</v>
      </c>
      <c r="I2846" t="s">
        <v>22</v>
      </c>
      <c r="J2846" t="s">
        <v>22</v>
      </c>
    </row>
    <row r="2847" spans="1:10" x14ac:dyDescent="0.25">
      <c r="C2847" t="s">
        <v>108</v>
      </c>
      <c r="D2847" t="s">
        <v>108</v>
      </c>
      <c r="E2847" t="s">
        <v>108</v>
      </c>
      <c r="F2847" t="s">
        <v>108</v>
      </c>
      <c r="G2847" t="s">
        <v>108</v>
      </c>
    </row>
    <row r="2848" spans="1:10" x14ac:dyDescent="0.25">
      <c r="H2848" t="s">
        <v>22</v>
      </c>
      <c r="I2848" t="s">
        <v>22</v>
      </c>
      <c r="J2848" t="s">
        <v>22</v>
      </c>
    </row>
    <row r="2849" spans="1:10" x14ac:dyDescent="0.25">
      <c r="A2849" t="s">
        <v>109</v>
      </c>
    </row>
    <row r="2850" spans="1:10" x14ac:dyDescent="0.25">
      <c r="B2850" t="s">
        <v>478</v>
      </c>
      <c r="C2850" s="2">
        <v>86284</v>
      </c>
      <c r="D2850" s="2">
        <v>93721</v>
      </c>
      <c r="E2850" s="2">
        <v>141710</v>
      </c>
      <c r="F2850" s="2">
        <v>227137</v>
      </c>
      <c r="G2850" s="2">
        <v>105090</v>
      </c>
      <c r="H2850">
        <v>0</v>
      </c>
    </row>
    <row r="2851" spans="1:10" x14ac:dyDescent="0.25">
      <c r="A2851" t="s">
        <v>110</v>
      </c>
    </row>
    <row r="2852" spans="1:10" x14ac:dyDescent="0.25">
      <c r="A2852" s="1">
        <v>43991</v>
      </c>
      <c r="B2852" t="s">
        <v>1615</v>
      </c>
      <c r="D2852" t="s">
        <v>112</v>
      </c>
      <c r="E2852" t="s">
        <v>113</v>
      </c>
      <c r="F2852" t="s">
        <v>114</v>
      </c>
      <c r="J2852" t="s">
        <v>479</v>
      </c>
    </row>
    <row r="2853" spans="1:10" x14ac:dyDescent="0.25">
      <c r="D2853" t="s">
        <v>116</v>
      </c>
      <c r="E2853" t="s">
        <v>117</v>
      </c>
      <c r="F2853" t="s">
        <v>118</v>
      </c>
    </row>
    <row r="2854" spans="1:10" x14ac:dyDescent="0.25">
      <c r="D2854" t="s">
        <v>119</v>
      </c>
      <c r="E2854" t="s">
        <v>120</v>
      </c>
      <c r="F2854" t="s">
        <v>121</v>
      </c>
    </row>
    <row r="2855" spans="1:10" x14ac:dyDescent="0.25">
      <c r="A2855" t="s">
        <v>1713</v>
      </c>
      <c r="B2855" t="s">
        <v>1714</v>
      </c>
    </row>
    <row r="2856" spans="1:10" x14ac:dyDescent="0.25">
      <c r="A2856" t="s">
        <v>386</v>
      </c>
    </row>
    <row r="2857" spans="1:10" x14ac:dyDescent="0.25">
      <c r="F2857" t="s">
        <v>2</v>
      </c>
      <c r="G2857" t="s">
        <v>3</v>
      </c>
      <c r="H2857" t="s">
        <v>4</v>
      </c>
      <c r="I2857" t="s">
        <v>5</v>
      </c>
      <c r="J2857" t="s">
        <v>6</v>
      </c>
    </row>
    <row r="2858" spans="1:10" x14ac:dyDescent="0.25">
      <c r="C2858" t="s">
        <v>7</v>
      </c>
      <c r="D2858" t="s">
        <v>8</v>
      </c>
      <c r="E2858" t="s">
        <v>9</v>
      </c>
      <c r="F2858" t="s">
        <v>10</v>
      </c>
      <c r="G2858" t="s">
        <v>124</v>
      </c>
      <c r="H2858" t="s">
        <v>12</v>
      </c>
      <c r="I2858" t="s">
        <v>13</v>
      </c>
      <c r="J2858" t="s">
        <v>14</v>
      </c>
    </row>
    <row r="2859" spans="1:10" x14ac:dyDescent="0.25">
      <c r="C2859" t="s">
        <v>15</v>
      </c>
      <c r="D2859" t="s">
        <v>15</v>
      </c>
      <c r="E2859" t="s">
        <v>15</v>
      </c>
      <c r="F2859" t="s">
        <v>16</v>
      </c>
      <c r="G2859" t="s">
        <v>15</v>
      </c>
      <c r="H2859" t="s">
        <v>17</v>
      </c>
      <c r="I2859" t="s">
        <v>16</v>
      </c>
      <c r="J2859" t="s">
        <v>16</v>
      </c>
    </row>
    <row r="2860" spans="1:10" x14ac:dyDescent="0.25">
      <c r="A2860" t="s">
        <v>18</v>
      </c>
      <c r="B2860" t="s">
        <v>19</v>
      </c>
      <c r="C2860" t="s">
        <v>20</v>
      </c>
      <c r="D2860" t="s">
        <v>21</v>
      </c>
      <c r="E2860" t="s">
        <v>22</v>
      </c>
      <c r="F2860" t="s">
        <v>23</v>
      </c>
      <c r="G2860" t="s">
        <v>24</v>
      </c>
      <c r="H2860" t="s">
        <v>20</v>
      </c>
      <c r="I2860" t="s">
        <v>24</v>
      </c>
      <c r="J2860" t="s">
        <v>20</v>
      </c>
    </row>
    <row r="2862" spans="1:10" x14ac:dyDescent="0.25">
      <c r="A2862" t="s">
        <v>489</v>
      </c>
    </row>
    <row r="2863" spans="1:10" x14ac:dyDescent="0.25">
      <c r="A2863" t="s">
        <v>18</v>
      </c>
    </row>
    <row r="2864" spans="1:10" x14ac:dyDescent="0.25">
      <c r="A2864" t="s">
        <v>1250</v>
      </c>
      <c r="B2864" t="s">
        <v>489</v>
      </c>
      <c r="C2864" s="2">
        <v>4293</v>
      </c>
      <c r="D2864" s="2">
        <v>23133</v>
      </c>
      <c r="E2864" s="2">
        <v>8971</v>
      </c>
      <c r="F2864" s="2">
        <v>13000</v>
      </c>
      <c r="G2864" s="2">
        <v>6292</v>
      </c>
      <c r="H2864">
        <v>0</v>
      </c>
      <c r="I2864" t="s">
        <v>22</v>
      </c>
      <c r="J2864" t="s">
        <v>22</v>
      </c>
    </row>
    <row r="2865" spans="1:10" x14ac:dyDescent="0.25">
      <c r="A2865" t="s">
        <v>1251</v>
      </c>
      <c r="B2865" t="s">
        <v>1252</v>
      </c>
      <c r="C2865">
        <v>975</v>
      </c>
      <c r="D2865" s="2">
        <v>1744</v>
      </c>
      <c r="E2865">
        <v>590</v>
      </c>
      <c r="F2865" s="2">
        <v>2500</v>
      </c>
      <c r="G2865">
        <v>926</v>
      </c>
      <c r="H2865">
        <v>0</v>
      </c>
      <c r="I2865" t="s">
        <v>22</v>
      </c>
      <c r="J2865" t="s">
        <v>22</v>
      </c>
    </row>
    <row r="2866" spans="1:10" x14ac:dyDescent="0.25">
      <c r="A2866" t="s">
        <v>1253</v>
      </c>
      <c r="B2866" t="s">
        <v>496</v>
      </c>
      <c r="C2866" s="2">
        <v>18772</v>
      </c>
      <c r="D2866" s="2">
        <v>11623</v>
      </c>
      <c r="E2866" s="2">
        <v>11899</v>
      </c>
      <c r="F2866" s="2">
        <v>16000</v>
      </c>
      <c r="G2866" s="2">
        <v>4396</v>
      </c>
      <c r="H2866">
        <v>0</v>
      </c>
      <c r="I2866" t="s">
        <v>22</v>
      </c>
      <c r="J2866" t="s">
        <v>22</v>
      </c>
    </row>
    <row r="2867" spans="1:10" x14ac:dyDescent="0.25">
      <c r="A2867" t="s">
        <v>1258</v>
      </c>
      <c r="B2867" t="s">
        <v>1259</v>
      </c>
      <c r="C2867" s="2">
        <v>5694</v>
      </c>
      <c r="D2867" s="2">
        <v>29394</v>
      </c>
      <c r="E2867" s="2">
        <v>20131</v>
      </c>
      <c r="F2867" s="2">
        <v>35000</v>
      </c>
      <c r="G2867" s="2">
        <v>3995</v>
      </c>
      <c r="H2867">
        <v>0</v>
      </c>
      <c r="I2867" t="s">
        <v>22</v>
      </c>
      <c r="J2867" t="s">
        <v>22</v>
      </c>
    </row>
    <row r="2868" spans="1:10" x14ac:dyDescent="0.25">
      <c r="A2868" t="s">
        <v>1871</v>
      </c>
      <c r="B2868" t="s">
        <v>1872</v>
      </c>
      <c r="C2868" s="2">
        <v>4415</v>
      </c>
      <c r="D2868" s="2">
        <v>11194</v>
      </c>
      <c r="E2868" s="2">
        <v>17744</v>
      </c>
      <c r="F2868" s="2">
        <v>20000</v>
      </c>
      <c r="G2868">
        <v>0</v>
      </c>
      <c r="H2868">
        <v>0</v>
      </c>
      <c r="I2868" t="s">
        <v>22</v>
      </c>
      <c r="J2868" t="s">
        <v>22</v>
      </c>
    </row>
    <row r="2869" spans="1:10" x14ac:dyDescent="0.25">
      <c r="A2869" t="s">
        <v>1873</v>
      </c>
      <c r="B2869" t="s">
        <v>1874</v>
      </c>
      <c r="C2869" s="2">
        <v>3304</v>
      </c>
      <c r="D2869" s="2">
        <v>11136</v>
      </c>
      <c r="E2869" s="2">
        <v>6944</v>
      </c>
      <c r="F2869" s="2">
        <v>8000</v>
      </c>
      <c r="G2869" s="2">
        <v>5521</v>
      </c>
      <c r="H2869">
        <v>0</v>
      </c>
      <c r="I2869" t="s">
        <v>22</v>
      </c>
      <c r="J2869" t="s">
        <v>22</v>
      </c>
    </row>
    <row r="2870" spans="1:10" x14ac:dyDescent="0.25">
      <c r="A2870" t="s">
        <v>1875</v>
      </c>
      <c r="B2870" t="s">
        <v>1876</v>
      </c>
      <c r="C2870">
        <v>0</v>
      </c>
      <c r="D2870" s="2">
        <v>5250</v>
      </c>
      <c r="E2870" s="2">
        <v>9180</v>
      </c>
      <c r="F2870" s="2">
        <v>8000</v>
      </c>
      <c r="G2870">
        <v>275</v>
      </c>
      <c r="H2870">
        <v>0</v>
      </c>
      <c r="I2870" t="s">
        <v>22</v>
      </c>
      <c r="J2870" t="s">
        <v>22</v>
      </c>
    </row>
    <row r="2871" spans="1:10" x14ac:dyDescent="0.25">
      <c r="A2871" t="s">
        <v>1877</v>
      </c>
      <c r="B2871" t="s">
        <v>1878</v>
      </c>
      <c r="C2871">
        <v>0</v>
      </c>
      <c r="D2871">
        <v>0</v>
      </c>
      <c r="E2871">
        <v>0</v>
      </c>
      <c r="F2871">
        <v>0</v>
      </c>
      <c r="G2871">
        <v>0</v>
      </c>
      <c r="H2871">
        <v>0</v>
      </c>
      <c r="I2871" t="s">
        <v>22</v>
      </c>
      <c r="J2871" t="s">
        <v>22</v>
      </c>
    </row>
    <row r="2872" spans="1:10" x14ac:dyDescent="0.25">
      <c r="A2872" t="s">
        <v>1260</v>
      </c>
      <c r="B2872" t="s">
        <v>498</v>
      </c>
      <c r="C2872">
        <v>0</v>
      </c>
      <c r="D2872">
        <v>0</v>
      </c>
      <c r="E2872">
        <v>0</v>
      </c>
      <c r="F2872">
        <v>0</v>
      </c>
      <c r="G2872">
        <v>0</v>
      </c>
      <c r="H2872">
        <v>0</v>
      </c>
      <c r="I2872" t="s">
        <v>22</v>
      </c>
      <c r="J2872" t="s">
        <v>22</v>
      </c>
    </row>
    <row r="2873" spans="1:10" x14ac:dyDescent="0.25">
      <c r="A2873" t="s">
        <v>1261</v>
      </c>
      <c r="B2873" t="s">
        <v>500</v>
      </c>
      <c r="C2873">
        <v>0</v>
      </c>
      <c r="D2873">
        <v>0</v>
      </c>
      <c r="E2873">
        <v>0</v>
      </c>
      <c r="F2873">
        <v>0</v>
      </c>
      <c r="G2873">
        <v>0</v>
      </c>
      <c r="H2873">
        <v>0</v>
      </c>
      <c r="I2873" t="s">
        <v>22</v>
      </c>
      <c r="J2873" t="s">
        <v>22</v>
      </c>
    </row>
    <row r="2874" spans="1:10" x14ac:dyDescent="0.25">
      <c r="C2874" t="s">
        <v>108</v>
      </c>
      <c r="D2874" t="s">
        <v>108</v>
      </c>
      <c r="E2874" t="s">
        <v>108</v>
      </c>
      <c r="F2874" t="s">
        <v>108</v>
      </c>
      <c r="G2874" t="s">
        <v>108</v>
      </c>
    </row>
    <row r="2875" spans="1:10" x14ac:dyDescent="0.25">
      <c r="H2875" t="s">
        <v>22</v>
      </c>
      <c r="I2875" t="s">
        <v>22</v>
      </c>
      <c r="J2875" t="s">
        <v>22</v>
      </c>
    </row>
    <row r="2876" spans="1:10" x14ac:dyDescent="0.25">
      <c r="A2876" t="s">
        <v>109</v>
      </c>
    </row>
    <row r="2877" spans="1:10" x14ac:dyDescent="0.25">
      <c r="B2877" t="s">
        <v>489</v>
      </c>
      <c r="C2877" s="2">
        <v>37453</v>
      </c>
      <c r="D2877" s="2">
        <v>93474</v>
      </c>
      <c r="E2877" s="2">
        <v>75459</v>
      </c>
      <c r="F2877" s="2">
        <v>102500</v>
      </c>
      <c r="G2877" s="2">
        <v>21405</v>
      </c>
      <c r="H2877">
        <v>0</v>
      </c>
    </row>
    <row r="2879" spans="1:10" x14ac:dyDescent="0.25">
      <c r="A2879" t="s">
        <v>501</v>
      </c>
    </row>
    <row r="2880" spans="1:10" x14ac:dyDescent="0.25">
      <c r="A2880" t="s">
        <v>18</v>
      </c>
    </row>
    <row r="2881" spans="1:10" x14ac:dyDescent="0.25">
      <c r="A2881" t="s">
        <v>1263</v>
      </c>
      <c r="B2881" t="s">
        <v>503</v>
      </c>
      <c r="C2881" s="2">
        <v>45008</v>
      </c>
      <c r="D2881" s="2">
        <v>37550</v>
      </c>
      <c r="E2881" s="2">
        <v>10868</v>
      </c>
      <c r="F2881" s="2">
        <v>30000</v>
      </c>
      <c r="G2881" s="2">
        <v>3824</v>
      </c>
      <c r="H2881">
        <v>0</v>
      </c>
      <c r="I2881" t="s">
        <v>22</v>
      </c>
      <c r="J2881" t="s">
        <v>22</v>
      </c>
    </row>
    <row r="2882" spans="1:10" x14ac:dyDescent="0.25">
      <c r="A2882" t="s">
        <v>1266</v>
      </c>
      <c r="B2882" t="s">
        <v>509</v>
      </c>
      <c r="C2882">
        <v>0</v>
      </c>
      <c r="D2882" s="2">
        <v>81050</v>
      </c>
      <c r="E2882" s="2">
        <v>42399</v>
      </c>
      <c r="F2882" s="2">
        <v>5000</v>
      </c>
      <c r="G2882" s="2">
        <v>3780</v>
      </c>
      <c r="H2882">
        <v>0</v>
      </c>
      <c r="I2882" t="s">
        <v>22</v>
      </c>
      <c r="J2882" t="s">
        <v>22</v>
      </c>
    </row>
    <row r="2883" spans="1:10" x14ac:dyDescent="0.25">
      <c r="A2883" t="s">
        <v>1879</v>
      </c>
      <c r="B2883" t="s">
        <v>1880</v>
      </c>
      <c r="C2883">
        <v>0</v>
      </c>
      <c r="D2883">
        <v>0</v>
      </c>
      <c r="E2883">
        <v>0</v>
      </c>
      <c r="F2883">
        <v>0</v>
      </c>
      <c r="G2883">
        <v>0</v>
      </c>
      <c r="H2883">
        <v>0</v>
      </c>
      <c r="I2883" t="s">
        <v>22</v>
      </c>
      <c r="J2883" t="s">
        <v>22</v>
      </c>
    </row>
    <row r="2884" spans="1:10" x14ac:dyDescent="0.25">
      <c r="A2884" t="s">
        <v>1267</v>
      </c>
      <c r="B2884" t="s">
        <v>519</v>
      </c>
      <c r="C2884">
        <v>0</v>
      </c>
      <c r="D2884">
        <v>0</v>
      </c>
      <c r="E2884">
        <v>0</v>
      </c>
      <c r="F2884">
        <v>0</v>
      </c>
      <c r="G2884">
        <v>0</v>
      </c>
      <c r="H2884">
        <v>0</v>
      </c>
      <c r="I2884" t="s">
        <v>22</v>
      </c>
      <c r="J2884" t="s">
        <v>22</v>
      </c>
    </row>
    <row r="2885" spans="1:10" x14ac:dyDescent="0.25">
      <c r="A2885" t="s">
        <v>1269</v>
      </c>
      <c r="B2885" t="s">
        <v>1085</v>
      </c>
      <c r="C2885">
        <v>461</v>
      </c>
      <c r="D2885" s="2">
        <v>2596</v>
      </c>
      <c r="E2885" s="2">
        <v>1916</v>
      </c>
      <c r="F2885" s="2">
        <v>2500</v>
      </c>
      <c r="G2885">
        <v>310</v>
      </c>
      <c r="H2885">
        <v>0</v>
      </c>
      <c r="I2885" t="s">
        <v>22</v>
      </c>
      <c r="J2885" t="s">
        <v>22</v>
      </c>
    </row>
    <row r="2886" spans="1:10" x14ac:dyDescent="0.25">
      <c r="A2886" t="s">
        <v>1881</v>
      </c>
      <c r="B2886" t="s">
        <v>1882</v>
      </c>
      <c r="C2886">
        <v>0</v>
      </c>
      <c r="D2886">
        <v>0</v>
      </c>
      <c r="E2886">
        <v>0</v>
      </c>
      <c r="F2886">
        <v>0</v>
      </c>
      <c r="G2886">
        <v>0</v>
      </c>
      <c r="H2886">
        <v>0</v>
      </c>
      <c r="I2886" t="s">
        <v>22</v>
      </c>
      <c r="J2886" t="s">
        <v>22</v>
      </c>
    </row>
    <row r="2887" spans="1:10" x14ac:dyDescent="0.25">
      <c r="C2887" t="s">
        <v>108</v>
      </c>
      <c r="D2887" t="s">
        <v>108</v>
      </c>
      <c r="E2887" t="s">
        <v>108</v>
      </c>
      <c r="F2887" t="s">
        <v>108</v>
      </c>
      <c r="G2887" t="s">
        <v>108</v>
      </c>
    </row>
    <row r="2888" spans="1:10" x14ac:dyDescent="0.25">
      <c r="H2888" t="s">
        <v>22</v>
      </c>
      <c r="I2888" t="s">
        <v>22</v>
      </c>
      <c r="J2888" t="s">
        <v>22</v>
      </c>
    </row>
    <row r="2889" spans="1:10" x14ac:dyDescent="0.25">
      <c r="A2889" t="s">
        <v>109</v>
      </c>
    </row>
    <row r="2890" spans="1:10" x14ac:dyDescent="0.25">
      <c r="B2890" t="s">
        <v>501</v>
      </c>
      <c r="C2890" s="2">
        <v>45469</v>
      </c>
      <c r="D2890" s="2">
        <v>121196</v>
      </c>
      <c r="E2890" s="2">
        <v>55183</v>
      </c>
      <c r="F2890" s="2">
        <v>37500</v>
      </c>
      <c r="G2890" s="2">
        <v>7914</v>
      </c>
      <c r="H2890">
        <v>0</v>
      </c>
    </row>
    <row r="2892" spans="1:10" x14ac:dyDescent="0.25">
      <c r="A2892" t="s">
        <v>524</v>
      </c>
      <c r="B2892" t="s">
        <v>525</v>
      </c>
    </row>
    <row r="2893" spans="1:10" x14ac:dyDescent="0.25">
      <c r="A2893" t="s">
        <v>18</v>
      </c>
      <c r="B2893" t="s">
        <v>526</v>
      </c>
    </row>
    <row r="2894" spans="1:10" x14ac:dyDescent="0.25">
      <c r="A2894" t="s">
        <v>1883</v>
      </c>
      <c r="B2894" t="s">
        <v>530</v>
      </c>
      <c r="C2894">
        <v>0</v>
      </c>
      <c r="D2894">
        <v>0</v>
      </c>
      <c r="E2894">
        <v>0</v>
      </c>
      <c r="F2894">
        <v>0</v>
      </c>
      <c r="G2894">
        <v>0</v>
      </c>
      <c r="H2894">
        <v>0</v>
      </c>
      <c r="I2894" t="s">
        <v>22</v>
      </c>
      <c r="J2894" t="s">
        <v>22</v>
      </c>
    </row>
    <row r="2895" spans="1:10" x14ac:dyDescent="0.25">
      <c r="A2895" t="s">
        <v>1884</v>
      </c>
      <c r="B2895" t="s">
        <v>1885</v>
      </c>
      <c r="C2895">
        <v>0</v>
      </c>
      <c r="D2895">
        <v>0</v>
      </c>
      <c r="E2895">
        <v>0</v>
      </c>
      <c r="F2895">
        <v>0</v>
      </c>
      <c r="G2895">
        <v>0</v>
      </c>
      <c r="H2895">
        <v>0</v>
      </c>
      <c r="I2895" t="s">
        <v>22</v>
      </c>
      <c r="J2895" t="s">
        <v>22</v>
      </c>
    </row>
    <row r="2896" spans="1:10" x14ac:dyDescent="0.25">
      <c r="A2896" t="s">
        <v>1886</v>
      </c>
      <c r="B2896" t="s">
        <v>1887</v>
      </c>
      <c r="C2896">
        <v>0</v>
      </c>
      <c r="D2896">
        <v>0</v>
      </c>
      <c r="E2896">
        <v>0</v>
      </c>
      <c r="F2896">
        <v>0</v>
      </c>
      <c r="G2896">
        <v>0</v>
      </c>
      <c r="H2896">
        <v>0</v>
      </c>
      <c r="I2896" t="s">
        <v>22</v>
      </c>
      <c r="J2896" t="s">
        <v>22</v>
      </c>
    </row>
    <row r="2897" spans="1:10" x14ac:dyDescent="0.25">
      <c r="A2897" t="s">
        <v>1888</v>
      </c>
      <c r="B2897" t="s">
        <v>1889</v>
      </c>
      <c r="C2897" s="2">
        <v>9882</v>
      </c>
      <c r="D2897" s="2">
        <v>-11016</v>
      </c>
      <c r="E2897">
        <v>0</v>
      </c>
      <c r="F2897">
        <v>0</v>
      </c>
      <c r="G2897">
        <v>0</v>
      </c>
      <c r="H2897">
        <v>0</v>
      </c>
      <c r="I2897" t="s">
        <v>22</v>
      </c>
      <c r="J2897" t="s">
        <v>22</v>
      </c>
    </row>
    <row r="2898" spans="1:10" x14ac:dyDescent="0.25">
      <c r="C2898" t="s">
        <v>108</v>
      </c>
      <c r="D2898" t="s">
        <v>108</v>
      </c>
      <c r="E2898" t="s">
        <v>108</v>
      </c>
      <c r="F2898" t="s">
        <v>108</v>
      </c>
      <c r="G2898" t="s">
        <v>108</v>
      </c>
    </row>
    <row r="2899" spans="1:10" x14ac:dyDescent="0.25">
      <c r="H2899" t="s">
        <v>22</v>
      </c>
      <c r="I2899" t="s">
        <v>22</v>
      </c>
      <c r="J2899" t="s">
        <v>22</v>
      </c>
    </row>
    <row r="2900" spans="1:10" x14ac:dyDescent="0.25">
      <c r="A2900" t="s">
        <v>109</v>
      </c>
    </row>
    <row r="2901" spans="1:10" x14ac:dyDescent="0.25">
      <c r="B2901" t="s">
        <v>530</v>
      </c>
      <c r="C2901" s="2">
        <v>9882</v>
      </c>
      <c r="D2901" s="2">
        <v>-11016</v>
      </c>
      <c r="E2901">
        <v>0</v>
      </c>
      <c r="F2901">
        <v>0</v>
      </c>
      <c r="G2901">
        <v>0</v>
      </c>
      <c r="H2901">
        <v>0</v>
      </c>
    </row>
    <row r="2902" spans="1:10" x14ac:dyDescent="0.25">
      <c r="A2902" t="s">
        <v>18</v>
      </c>
      <c r="B2902" t="s">
        <v>19</v>
      </c>
      <c r="C2902" t="s">
        <v>20</v>
      </c>
      <c r="D2902" t="s">
        <v>21</v>
      </c>
      <c r="E2902" t="s">
        <v>26</v>
      </c>
    </row>
    <row r="2903" spans="1:10" x14ac:dyDescent="0.25">
      <c r="E2903" t="s">
        <v>339</v>
      </c>
      <c r="F2903" t="s">
        <v>23</v>
      </c>
      <c r="G2903" t="s">
        <v>24</v>
      </c>
      <c r="H2903" t="s">
        <v>20</v>
      </c>
      <c r="I2903" t="s">
        <v>24</v>
      </c>
      <c r="J2903" t="s">
        <v>20</v>
      </c>
    </row>
    <row r="2904" spans="1:10" x14ac:dyDescent="0.25">
      <c r="A2904" t="s">
        <v>109</v>
      </c>
    </row>
    <row r="2905" spans="1:10" x14ac:dyDescent="0.25">
      <c r="A2905" t="s">
        <v>1845</v>
      </c>
      <c r="B2905" t="s">
        <v>1890</v>
      </c>
      <c r="C2905" s="2">
        <v>405575</v>
      </c>
      <c r="D2905" s="2">
        <v>677354</v>
      </c>
      <c r="E2905" s="2">
        <v>631330</v>
      </c>
      <c r="F2905" s="2">
        <v>913947</v>
      </c>
      <c r="G2905" s="2">
        <v>430467</v>
      </c>
      <c r="H2905">
        <v>0</v>
      </c>
    </row>
    <row r="2907" spans="1:10" x14ac:dyDescent="0.25">
      <c r="A2907" t="s">
        <v>1891</v>
      </c>
      <c r="B2907" t="s">
        <v>1892</v>
      </c>
    </row>
    <row r="2908" spans="1:10" x14ac:dyDescent="0.25">
      <c r="A2908" t="s">
        <v>389</v>
      </c>
      <c r="B2908" t="s">
        <v>567</v>
      </c>
    </row>
    <row r="2910" spans="1:10" x14ac:dyDescent="0.25">
      <c r="A2910" t="s">
        <v>524</v>
      </c>
      <c r="B2910" t="s">
        <v>525</v>
      </c>
    </row>
    <row r="2911" spans="1:10" x14ac:dyDescent="0.25">
      <c r="A2911" t="s">
        <v>18</v>
      </c>
      <c r="B2911" t="s">
        <v>526</v>
      </c>
    </row>
    <row r="2912" spans="1:10" x14ac:dyDescent="0.25">
      <c r="A2912" t="s">
        <v>1893</v>
      </c>
      <c r="B2912" t="s">
        <v>1894</v>
      </c>
      <c r="C2912">
        <v>0</v>
      </c>
      <c r="D2912">
        <v>0</v>
      </c>
      <c r="E2912">
        <v>0</v>
      </c>
      <c r="F2912">
        <v>0</v>
      </c>
      <c r="G2912">
        <v>0</v>
      </c>
      <c r="H2912">
        <v>0</v>
      </c>
      <c r="I2912" t="s">
        <v>22</v>
      </c>
      <c r="J2912" t="s">
        <v>22</v>
      </c>
    </row>
    <row r="2913" spans="1:10" x14ac:dyDescent="0.25">
      <c r="C2913" t="s">
        <v>108</v>
      </c>
      <c r="D2913" t="s">
        <v>108</v>
      </c>
      <c r="E2913" t="s">
        <v>108</v>
      </c>
      <c r="F2913" t="s">
        <v>108</v>
      </c>
      <c r="G2913" t="s">
        <v>108</v>
      </c>
    </row>
    <row r="2914" spans="1:10" x14ac:dyDescent="0.25">
      <c r="H2914" t="s">
        <v>22</v>
      </c>
      <c r="I2914" t="s">
        <v>22</v>
      </c>
      <c r="J2914" t="s">
        <v>22</v>
      </c>
    </row>
    <row r="2915" spans="1:10" x14ac:dyDescent="0.25">
      <c r="A2915" t="s">
        <v>109</v>
      </c>
    </row>
    <row r="2916" spans="1:10" x14ac:dyDescent="0.25">
      <c r="B2916" t="s">
        <v>530</v>
      </c>
      <c r="C2916">
        <v>0</v>
      </c>
      <c r="D2916">
        <v>0</v>
      </c>
      <c r="E2916">
        <v>0</v>
      </c>
      <c r="F2916">
        <v>0</v>
      </c>
      <c r="G2916">
        <v>0</v>
      </c>
      <c r="H2916">
        <v>0</v>
      </c>
    </row>
    <row r="2917" spans="1:10" x14ac:dyDescent="0.25">
      <c r="A2917" t="s">
        <v>18</v>
      </c>
      <c r="B2917" t="s">
        <v>19</v>
      </c>
      <c r="C2917" t="s">
        <v>20</v>
      </c>
      <c r="D2917" t="s">
        <v>21</v>
      </c>
      <c r="E2917" t="s">
        <v>26</v>
      </c>
    </row>
    <row r="2918" spans="1:10" x14ac:dyDescent="0.25">
      <c r="E2918" t="s">
        <v>339</v>
      </c>
      <c r="F2918" t="s">
        <v>23</v>
      </c>
      <c r="G2918" t="s">
        <v>24</v>
      </c>
      <c r="H2918" t="s">
        <v>20</v>
      </c>
      <c r="I2918" t="s">
        <v>24</v>
      </c>
      <c r="J2918" t="s">
        <v>20</v>
      </c>
    </row>
    <row r="2919" spans="1:10" x14ac:dyDescent="0.25">
      <c r="A2919" t="s">
        <v>109</v>
      </c>
    </row>
    <row r="2920" spans="1:10" x14ac:dyDescent="0.25">
      <c r="A2920" t="s">
        <v>1895</v>
      </c>
      <c r="B2920" t="s">
        <v>1896</v>
      </c>
      <c r="C2920">
        <v>0</v>
      </c>
      <c r="D2920">
        <v>0</v>
      </c>
      <c r="E2920">
        <v>0</v>
      </c>
      <c r="F2920">
        <v>0</v>
      </c>
      <c r="G2920">
        <v>0</v>
      </c>
      <c r="H2920">
        <v>0</v>
      </c>
    </row>
    <row r="2922" spans="1:10" x14ac:dyDescent="0.25">
      <c r="A2922" t="s">
        <v>1897</v>
      </c>
      <c r="B2922" t="s">
        <v>1898</v>
      </c>
    </row>
    <row r="2923" spans="1:10" x14ac:dyDescent="0.25">
      <c r="A2923" t="s">
        <v>389</v>
      </c>
      <c r="B2923" t="s">
        <v>1899</v>
      </c>
    </row>
    <row r="2925" spans="1:10" x14ac:dyDescent="0.25">
      <c r="A2925" t="s">
        <v>1900</v>
      </c>
      <c r="B2925" t="s">
        <v>1901</v>
      </c>
    </row>
    <row r="2926" spans="1:10" x14ac:dyDescent="0.25">
      <c r="A2926" t="s">
        <v>18</v>
      </c>
      <c r="B2926" t="s">
        <v>1593</v>
      </c>
    </row>
    <row r="2927" spans="1:10" x14ac:dyDescent="0.25">
      <c r="A2927" t="s">
        <v>1902</v>
      </c>
      <c r="B2927" t="s">
        <v>1702</v>
      </c>
      <c r="C2927" s="2">
        <v>181731</v>
      </c>
      <c r="D2927" s="2">
        <v>226884</v>
      </c>
      <c r="E2927">
        <v>0</v>
      </c>
      <c r="F2927">
        <v>0</v>
      </c>
      <c r="G2927">
        <v>0</v>
      </c>
      <c r="H2927">
        <v>0</v>
      </c>
      <c r="I2927" t="s">
        <v>22</v>
      </c>
      <c r="J2927" t="s">
        <v>22</v>
      </c>
    </row>
    <row r="2928" spans="1:10" x14ac:dyDescent="0.25">
      <c r="C2928" t="s">
        <v>108</v>
      </c>
      <c r="D2928" t="s">
        <v>108</v>
      </c>
      <c r="E2928" t="s">
        <v>108</v>
      </c>
      <c r="F2928" t="s">
        <v>108</v>
      </c>
      <c r="G2928" t="s">
        <v>108</v>
      </c>
    </row>
    <row r="2929" spans="1:10" x14ac:dyDescent="0.25">
      <c r="H2929" t="s">
        <v>22</v>
      </c>
      <c r="I2929" t="s">
        <v>22</v>
      </c>
      <c r="J2929" t="s">
        <v>22</v>
      </c>
    </row>
    <row r="2930" spans="1:10" x14ac:dyDescent="0.25">
      <c r="A2930" t="s">
        <v>109</v>
      </c>
    </row>
    <row r="2931" spans="1:10" x14ac:dyDescent="0.25">
      <c r="B2931" t="s">
        <v>1903</v>
      </c>
      <c r="C2931" s="2">
        <v>181731</v>
      </c>
      <c r="D2931" s="2">
        <v>226884</v>
      </c>
      <c r="E2931">
        <v>0</v>
      </c>
      <c r="F2931">
        <v>0</v>
      </c>
      <c r="G2931">
        <v>0</v>
      </c>
      <c r="H2931">
        <v>0</v>
      </c>
    </row>
    <row r="2932" spans="1:10" x14ac:dyDescent="0.25">
      <c r="A2932" t="s">
        <v>18</v>
      </c>
      <c r="B2932" t="s">
        <v>19</v>
      </c>
      <c r="C2932" t="s">
        <v>20</v>
      </c>
      <c r="D2932" t="s">
        <v>21</v>
      </c>
      <c r="E2932" t="s">
        <v>26</v>
      </c>
    </row>
    <row r="2933" spans="1:10" x14ac:dyDescent="0.25">
      <c r="E2933" t="s">
        <v>339</v>
      </c>
      <c r="F2933" t="s">
        <v>23</v>
      </c>
      <c r="G2933" t="s">
        <v>24</v>
      </c>
      <c r="H2933" t="s">
        <v>20</v>
      </c>
      <c r="I2933" t="s">
        <v>24</v>
      </c>
      <c r="J2933" t="s">
        <v>20</v>
      </c>
    </row>
    <row r="2934" spans="1:10" x14ac:dyDescent="0.25">
      <c r="A2934" t="s">
        <v>109</v>
      </c>
    </row>
    <row r="2935" spans="1:10" x14ac:dyDescent="0.25">
      <c r="A2935" t="s">
        <v>1904</v>
      </c>
      <c r="B2935" t="s">
        <v>1905</v>
      </c>
      <c r="C2935" s="2">
        <v>181731</v>
      </c>
      <c r="D2935" s="2">
        <v>226884</v>
      </c>
      <c r="E2935">
        <v>0</v>
      </c>
      <c r="F2935">
        <v>0</v>
      </c>
      <c r="G2935">
        <v>0</v>
      </c>
      <c r="H2935">
        <v>0</v>
      </c>
    </row>
    <row r="2936" spans="1:10" x14ac:dyDescent="0.25">
      <c r="A2936" t="s">
        <v>18</v>
      </c>
      <c r="B2936" t="s">
        <v>19</v>
      </c>
      <c r="C2936" t="s">
        <v>20</v>
      </c>
      <c r="D2936" t="s">
        <v>21</v>
      </c>
      <c r="E2936" t="s">
        <v>26</v>
      </c>
    </row>
    <row r="2937" spans="1:10" x14ac:dyDescent="0.25">
      <c r="E2937" t="s">
        <v>339</v>
      </c>
      <c r="F2937" t="s">
        <v>23</v>
      </c>
      <c r="G2937" t="s">
        <v>24</v>
      </c>
      <c r="H2937" t="s">
        <v>20</v>
      </c>
      <c r="I2937" t="s">
        <v>24</v>
      </c>
      <c r="J2937" t="s">
        <v>20</v>
      </c>
    </row>
    <row r="2939" spans="1:10" x14ac:dyDescent="0.25">
      <c r="A2939" t="s">
        <v>1609</v>
      </c>
      <c r="B2939" t="s">
        <v>1610</v>
      </c>
      <c r="C2939" s="2">
        <v>1003225</v>
      </c>
      <c r="D2939" s="2">
        <v>1355446</v>
      </c>
      <c r="E2939" s="2">
        <v>1219493</v>
      </c>
      <c r="F2939" s="2">
        <v>1593221</v>
      </c>
      <c r="G2939" s="2">
        <v>828508</v>
      </c>
      <c r="H2939">
        <v>0</v>
      </c>
    </row>
    <row r="2941" spans="1:10" x14ac:dyDescent="0.25">
      <c r="A2941" t="s">
        <v>1611</v>
      </c>
      <c r="B2941" t="s">
        <v>1612</v>
      </c>
      <c r="C2941" s="2">
        <v>201463</v>
      </c>
      <c r="D2941" s="2">
        <v>-35962</v>
      </c>
      <c r="E2941" s="2">
        <v>268378</v>
      </c>
      <c r="F2941">
        <v>-2</v>
      </c>
      <c r="G2941" s="2">
        <v>-262458</v>
      </c>
      <c r="H2941">
        <v>0</v>
      </c>
    </row>
    <row r="2944" spans="1:10" x14ac:dyDescent="0.25">
      <c r="A2944" t="s">
        <v>1613</v>
      </c>
      <c r="B2944" t="s">
        <v>1614</v>
      </c>
    </row>
    <row r="2945" spans="1:10" x14ac:dyDescent="0.25">
      <c r="A2945" t="s">
        <v>110</v>
      </c>
    </row>
    <row r="2946" spans="1:10" x14ac:dyDescent="0.25">
      <c r="A2946" s="1">
        <v>43991</v>
      </c>
      <c r="B2946" t="s">
        <v>1615</v>
      </c>
      <c r="D2946" t="s">
        <v>112</v>
      </c>
      <c r="E2946" t="s">
        <v>113</v>
      </c>
      <c r="F2946" t="s">
        <v>114</v>
      </c>
      <c r="J2946" t="s">
        <v>1616</v>
      </c>
    </row>
    <row r="2947" spans="1:10" x14ac:dyDescent="0.25">
      <c r="D2947" t="s">
        <v>116</v>
      </c>
      <c r="E2947" t="s">
        <v>117</v>
      </c>
      <c r="F2947" t="s">
        <v>118</v>
      </c>
    </row>
    <row r="2948" spans="1:10" x14ac:dyDescent="0.25">
      <c r="D2948" t="s">
        <v>119</v>
      </c>
      <c r="E2948" t="s">
        <v>120</v>
      </c>
      <c r="F2948" t="s">
        <v>121</v>
      </c>
    </row>
    <row r="2949" spans="1:10" x14ac:dyDescent="0.25">
      <c r="A2949" t="s">
        <v>1906</v>
      </c>
      <c r="B2949" t="s">
        <v>1907</v>
      </c>
    </row>
    <row r="2950" spans="1:10" x14ac:dyDescent="0.25">
      <c r="A2950" t="s">
        <v>1</v>
      </c>
    </row>
    <row r="2951" spans="1:10" x14ac:dyDescent="0.25">
      <c r="F2951" t="s">
        <v>2</v>
      </c>
      <c r="G2951" t="s">
        <v>3</v>
      </c>
      <c r="H2951" t="s">
        <v>4</v>
      </c>
      <c r="I2951" t="s">
        <v>5</v>
      </c>
      <c r="J2951" t="s">
        <v>6</v>
      </c>
    </row>
    <row r="2952" spans="1:10" x14ac:dyDescent="0.25">
      <c r="C2952" t="s">
        <v>7</v>
      </c>
      <c r="D2952" t="s">
        <v>8</v>
      </c>
      <c r="E2952" t="s">
        <v>9</v>
      </c>
      <c r="F2952" t="s">
        <v>10</v>
      </c>
      <c r="G2952" t="s">
        <v>124</v>
      </c>
      <c r="H2952" t="s">
        <v>12</v>
      </c>
      <c r="I2952" t="s">
        <v>13</v>
      </c>
      <c r="J2952" t="s">
        <v>14</v>
      </c>
    </row>
    <row r="2953" spans="1:10" x14ac:dyDescent="0.25">
      <c r="C2953" t="s">
        <v>15</v>
      </c>
      <c r="D2953" t="s">
        <v>15</v>
      </c>
      <c r="E2953" t="s">
        <v>15</v>
      </c>
      <c r="F2953" t="s">
        <v>16</v>
      </c>
      <c r="G2953" t="s">
        <v>15</v>
      </c>
      <c r="H2953" t="s">
        <v>17</v>
      </c>
      <c r="I2953" t="s">
        <v>16</v>
      </c>
      <c r="J2953" t="s">
        <v>16</v>
      </c>
    </row>
    <row r="2954" spans="1:10" x14ac:dyDescent="0.25">
      <c r="A2954" t="s">
        <v>18</v>
      </c>
      <c r="B2954" t="s">
        <v>19</v>
      </c>
      <c r="C2954" t="s">
        <v>20</v>
      </c>
      <c r="D2954" t="s">
        <v>21</v>
      </c>
      <c r="E2954" t="s">
        <v>22</v>
      </c>
      <c r="F2954" t="s">
        <v>23</v>
      </c>
      <c r="G2954" t="s">
        <v>24</v>
      </c>
      <c r="H2954" t="s">
        <v>20</v>
      </c>
      <c r="I2954" t="s">
        <v>24</v>
      </c>
      <c r="J2954" t="s">
        <v>20</v>
      </c>
    </row>
    <row r="2956" spans="1:10" x14ac:dyDescent="0.25">
      <c r="A2956" t="s">
        <v>1908</v>
      </c>
      <c r="B2956" t="s">
        <v>1909</v>
      </c>
    </row>
    <row r="2957" spans="1:10" x14ac:dyDescent="0.25">
      <c r="A2957" t="s">
        <v>18</v>
      </c>
      <c r="B2957" t="s">
        <v>23</v>
      </c>
    </row>
    <row r="2958" spans="1:10" x14ac:dyDescent="0.25">
      <c r="A2958" t="s">
        <v>297</v>
      </c>
      <c r="B2958" t="s">
        <v>298</v>
      </c>
      <c r="C2958">
        <v>927</v>
      </c>
      <c r="D2958">
        <v>0</v>
      </c>
      <c r="E2958" s="2">
        <v>1025</v>
      </c>
      <c r="F2958">
        <v>0</v>
      </c>
      <c r="G2958">
        <v>0</v>
      </c>
      <c r="H2958">
        <v>0</v>
      </c>
      <c r="I2958" t="s">
        <v>22</v>
      </c>
      <c r="J2958" t="s">
        <v>22</v>
      </c>
    </row>
    <row r="2959" spans="1:10" x14ac:dyDescent="0.25">
      <c r="A2959" t="s">
        <v>1910</v>
      </c>
      <c r="B2959" t="s">
        <v>1844</v>
      </c>
      <c r="C2959">
        <v>0</v>
      </c>
      <c r="D2959">
        <v>0</v>
      </c>
      <c r="E2959">
        <v>0</v>
      </c>
      <c r="F2959">
        <v>0</v>
      </c>
      <c r="G2959">
        <v>0</v>
      </c>
      <c r="H2959">
        <v>0</v>
      </c>
      <c r="I2959" t="s">
        <v>22</v>
      </c>
      <c r="J2959" t="s">
        <v>22</v>
      </c>
    </row>
    <row r="2960" spans="1:10" x14ac:dyDescent="0.25">
      <c r="C2960" t="s">
        <v>108</v>
      </c>
      <c r="D2960" t="s">
        <v>108</v>
      </c>
      <c r="E2960" t="s">
        <v>108</v>
      </c>
      <c r="F2960" t="s">
        <v>108</v>
      </c>
      <c r="G2960" t="s">
        <v>108</v>
      </c>
    </row>
    <row r="2961" spans="1:10" x14ac:dyDescent="0.25">
      <c r="H2961" t="s">
        <v>22</v>
      </c>
      <c r="I2961" t="s">
        <v>22</v>
      </c>
      <c r="J2961" t="s">
        <v>22</v>
      </c>
    </row>
    <row r="2962" spans="1:10" x14ac:dyDescent="0.25">
      <c r="A2962" t="s">
        <v>109</v>
      </c>
    </row>
    <row r="2963" spans="1:10" x14ac:dyDescent="0.25">
      <c r="B2963" t="s">
        <v>1911</v>
      </c>
      <c r="C2963">
        <v>927</v>
      </c>
      <c r="D2963">
        <v>0</v>
      </c>
      <c r="E2963" s="2">
        <v>1025</v>
      </c>
      <c r="F2963">
        <v>0</v>
      </c>
      <c r="G2963">
        <v>0</v>
      </c>
      <c r="H2963">
        <v>0</v>
      </c>
    </row>
    <row r="2965" spans="1:10" x14ac:dyDescent="0.25">
      <c r="A2965" t="s">
        <v>1912</v>
      </c>
      <c r="B2965" t="s">
        <v>1913</v>
      </c>
    </row>
    <row r="2966" spans="1:10" x14ac:dyDescent="0.25">
      <c r="A2966" t="s">
        <v>18</v>
      </c>
      <c r="B2966" t="s">
        <v>22</v>
      </c>
    </row>
    <row r="2967" spans="1:10" x14ac:dyDescent="0.25">
      <c r="A2967" t="s">
        <v>1914</v>
      </c>
      <c r="B2967" t="s">
        <v>62</v>
      </c>
      <c r="C2967" s="2">
        <v>73256</v>
      </c>
      <c r="D2967" s="2">
        <v>626574</v>
      </c>
      <c r="E2967" s="2">
        <v>925328</v>
      </c>
      <c r="F2967" s="2">
        <v>689091</v>
      </c>
      <c r="G2967" s="2">
        <v>499750</v>
      </c>
      <c r="H2967">
        <v>0</v>
      </c>
      <c r="I2967" t="s">
        <v>22</v>
      </c>
      <c r="J2967" t="s">
        <v>22</v>
      </c>
    </row>
    <row r="2968" spans="1:10" x14ac:dyDescent="0.25">
      <c r="A2968" t="s">
        <v>1915</v>
      </c>
      <c r="B2968" t="s">
        <v>64</v>
      </c>
      <c r="C2968" s="2">
        <v>7517</v>
      </c>
      <c r="D2968" s="2">
        <v>91662</v>
      </c>
      <c r="E2968">
        <v>0</v>
      </c>
      <c r="F2968">
        <v>0</v>
      </c>
      <c r="G2968">
        <v>0</v>
      </c>
      <c r="H2968">
        <v>0</v>
      </c>
      <c r="I2968" t="s">
        <v>22</v>
      </c>
      <c r="J2968" t="s">
        <v>22</v>
      </c>
    </row>
    <row r="2969" spans="1:10" x14ac:dyDescent="0.25">
      <c r="A2969" t="s">
        <v>1916</v>
      </c>
      <c r="B2969" t="s">
        <v>1917</v>
      </c>
      <c r="C2969" s="2">
        <v>6106</v>
      </c>
      <c r="D2969" s="2">
        <v>38845</v>
      </c>
      <c r="E2969" s="2">
        <v>43564</v>
      </c>
      <c r="F2969" s="2">
        <v>32971</v>
      </c>
      <c r="G2969" s="2">
        <v>21173</v>
      </c>
      <c r="H2969">
        <v>0</v>
      </c>
      <c r="I2969" t="s">
        <v>22</v>
      </c>
      <c r="J2969" t="s">
        <v>22</v>
      </c>
    </row>
    <row r="2970" spans="1:10" x14ac:dyDescent="0.25">
      <c r="A2970" t="s">
        <v>1918</v>
      </c>
      <c r="B2970" t="s">
        <v>1919</v>
      </c>
      <c r="C2970" s="2">
        <v>6566</v>
      </c>
      <c r="D2970" s="2">
        <v>41603</v>
      </c>
      <c r="E2970" s="2">
        <v>20072</v>
      </c>
      <c r="F2970">
        <v>0</v>
      </c>
      <c r="G2970" s="2">
        <v>6700</v>
      </c>
      <c r="H2970">
        <v>0</v>
      </c>
      <c r="I2970" t="s">
        <v>22</v>
      </c>
      <c r="J2970" t="s">
        <v>22</v>
      </c>
    </row>
    <row r="2971" spans="1:10" x14ac:dyDescent="0.25">
      <c r="A2971" t="s">
        <v>1920</v>
      </c>
      <c r="B2971" t="s">
        <v>1921</v>
      </c>
      <c r="C2971">
        <v>0</v>
      </c>
      <c r="D2971">
        <v>0</v>
      </c>
      <c r="E2971">
        <v>463</v>
      </c>
      <c r="F2971">
        <v>347</v>
      </c>
      <c r="G2971">
        <v>238</v>
      </c>
      <c r="H2971">
        <v>0</v>
      </c>
      <c r="I2971" t="s">
        <v>22</v>
      </c>
      <c r="J2971" t="s">
        <v>22</v>
      </c>
    </row>
    <row r="2972" spans="1:10" x14ac:dyDescent="0.25">
      <c r="A2972" t="s">
        <v>1922</v>
      </c>
      <c r="B2972" t="s">
        <v>1923</v>
      </c>
      <c r="C2972" s="2">
        <v>89800</v>
      </c>
      <c r="D2972" s="2">
        <v>22020</v>
      </c>
      <c r="E2972" s="2">
        <v>19500</v>
      </c>
      <c r="F2972" s="2">
        <v>16100</v>
      </c>
      <c r="G2972" s="2">
        <v>6880</v>
      </c>
      <c r="H2972">
        <v>0</v>
      </c>
      <c r="I2972" t="s">
        <v>22</v>
      </c>
      <c r="J2972" t="s">
        <v>22</v>
      </c>
    </row>
    <row r="2973" spans="1:10" x14ac:dyDescent="0.25">
      <c r="A2973" t="s">
        <v>1924</v>
      </c>
      <c r="B2973" t="s">
        <v>1925</v>
      </c>
      <c r="C2973">
        <v>0</v>
      </c>
      <c r="D2973">
        <v>0</v>
      </c>
      <c r="E2973">
        <v>0</v>
      </c>
      <c r="F2973">
        <v>0</v>
      </c>
      <c r="G2973">
        <v>0</v>
      </c>
      <c r="H2973">
        <v>0</v>
      </c>
      <c r="I2973" t="s">
        <v>22</v>
      </c>
      <c r="J2973" t="s">
        <v>22</v>
      </c>
    </row>
    <row r="2974" spans="1:10" x14ac:dyDescent="0.25">
      <c r="A2974" t="s">
        <v>1926</v>
      </c>
      <c r="B2974" t="s">
        <v>1927</v>
      </c>
      <c r="C2974">
        <v>0</v>
      </c>
      <c r="D2974">
        <v>0</v>
      </c>
      <c r="E2974">
        <v>0</v>
      </c>
      <c r="F2974">
        <v>0</v>
      </c>
      <c r="G2974">
        <v>0</v>
      </c>
      <c r="H2974">
        <v>0</v>
      </c>
      <c r="I2974" t="s">
        <v>22</v>
      </c>
      <c r="J2974" t="s">
        <v>22</v>
      </c>
    </row>
    <row r="2975" spans="1:10" x14ac:dyDescent="0.25">
      <c r="A2975" t="s">
        <v>1928</v>
      </c>
      <c r="B2975" t="s">
        <v>1929</v>
      </c>
      <c r="C2975">
        <v>0</v>
      </c>
      <c r="D2975">
        <v>0</v>
      </c>
      <c r="E2975" s="2">
        <v>121627</v>
      </c>
      <c r="F2975" s="2">
        <v>108985</v>
      </c>
      <c r="G2975" s="2">
        <v>107060</v>
      </c>
      <c r="H2975">
        <v>0</v>
      </c>
      <c r="I2975" t="s">
        <v>22</v>
      </c>
      <c r="J2975" t="s">
        <v>22</v>
      </c>
    </row>
    <row r="2976" spans="1:10" x14ac:dyDescent="0.25">
      <c r="A2976" t="s">
        <v>1930</v>
      </c>
      <c r="B2976" t="s">
        <v>1931</v>
      </c>
      <c r="C2976">
        <v>0</v>
      </c>
      <c r="D2976">
        <v>0</v>
      </c>
      <c r="E2976">
        <v>0</v>
      </c>
      <c r="F2976">
        <v>0</v>
      </c>
      <c r="G2976">
        <v>0</v>
      </c>
      <c r="H2976">
        <v>0</v>
      </c>
      <c r="I2976" t="s">
        <v>22</v>
      </c>
      <c r="J2976" t="s">
        <v>22</v>
      </c>
    </row>
    <row r="2977" spans="1:10" x14ac:dyDescent="0.25">
      <c r="A2977" t="s">
        <v>1932</v>
      </c>
      <c r="B2977" t="s">
        <v>1933</v>
      </c>
      <c r="C2977">
        <v>0</v>
      </c>
      <c r="D2977">
        <v>0</v>
      </c>
      <c r="E2977">
        <v>0</v>
      </c>
      <c r="F2977">
        <v>0</v>
      </c>
      <c r="G2977">
        <v>0</v>
      </c>
      <c r="H2977">
        <v>0</v>
      </c>
      <c r="I2977" t="s">
        <v>22</v>
      </c>
      <c r="J2977" t="s">
        <v>22</v>
      </c>
    </row>
    <row r="2978" spans="1:10" x14ac:dyDescent="0.25">
      <c r="A2978" t="s">
        <v>1934</v>
      </c>
      <c r="B2978" t="s">
        <v>1935</v>
      </c>
      <c r="C2978">
        <v>-2</v>
      </c>
      <c r="D2978" t="s">
        <v>1936</v>
      </c>
      <c r="E2978" t="s">
        <v>1937</v>
      </c>
      <c r="F2978">
        <v>0</v>
      </c>
      <c r="G2978" s="2">
        <v>1814</v>
      </c>
      <c r="H2978">
        <v>0</v>
      </c>
      <c r="I2978" t="s">
        <v>22</v>
      </c>
      <c r="J2978" t="s">
        <v>22</v>
      </c>
    </row>
    <row r="2979" spans="1:10" x14ac:dyDescent="0.25">
      <c r="A2979" t="s">
        <v>1938</v>
      </c>
      <c r="B2979" t="s">
        <v>1939</v>
      </c>
      <c r="C2979" s="2">
        <v>100545</v>
      </c>
      <c r="D2979" s="2">
        <v>5130</v>
      </c>
      <c r="E2979" s="2">
        <v>22869</v>
      </c>
      <c r="F2979">
        <v>0</v>
      </c>
      <c r="G2979">
        <v>0</v>
      </c>
      <c r="H2979">
        <v>0</v>
      </c>
      <c r="I2979" t="s">
        <v>22</v>
      </c>
      <c r="J2979" t="s">
        <v>22</v>
      </c>
    </row>
    <row r="2980" spans="1:10" x14ac:dyDescent="0.25">
      <c r="A2980" t="s">
        <v>1940</v>
      </c>
      <c r="B2980" t="s">
        <v>1941</v>
      </c>
      <c r="C2980" s="2">
        <v>58350</v>
      </c>
      <c r="D2980">
        <v>0</v>
      </c>
      <c r="E2980">
        <v>0</v>
      </c>
      <c r="F2980">
        <v>0</v>
      </c>
      <c r="G2980">
        <v>0</v>
      </c>
      <c r="H2980">
        <v>0</v>
      </c>
      <c r="I2980" t="s">
        <v>22</v>
      </c>
      <c r="J2980" t="s">
        <v>22</v>
      </c>
    </row>
    <row r="2981" spans="1:10" x14ac:dyDescent="0.25">
      <c r="A2981" t="s">
        <v>1942</v>
      </c>
      <c r="B2981" t="s">
        <v>77</v>
      </c>
      <c r="C2981">
        <v>0</v>
      </c>
      <c r="D2981" s="2">
        <v>52136</v>
      </c>
      <c r="E2981">
        <v>0</v>
      </c>
      <c r="F2981">
        <v>0</v>
      </c>
      <c r="G2981">
        <v>0</v>
      </c>
      <c r="H2981">
        <v>0</v>
      </c>
      <c r="I2981" t="s">
        <v>22</v>
      </c>
      <c r="J2981" t="s">
        <v>22</v>
      </c>
    </row>
    <row r="2982" spans="1:10" x14ac:dyDescent="0.25">
      <c r="A2982" t="s">
        <v>1943</v>
      </c>
      <c r="B2982" t="s">
        <v>95</v>
      </c>
      <c r="C2982">
        <v>0</v>
      </c>
      <c r="D2982">
        <v>0</v>
      </c>
      <c r="E2982">
        <v>0</v>
      </c>
      <c r="F2982">
        <v>0</v>
      </c>
      <c r="G2982">
        <v>0</v>
      </c>
      <c r="H2982">
        <v>0</v>
      </c>
      <c r="I2982" t="s">
        <v>22</v>
      </c>
      <c r="J2982" t="s">
        <v>22</v>
      </c>
    </row>
    <row r="2983" spans="1:10" x14ac:dyDescent="0.25">
      <c r="A2983" t="s">
        <v>1944</v>
      </c>
      <c r="B2983" t="s">
        <v>1945</v>
      </c>
      <c r="C2983">
        <v>0</v>
      </c>
      <c r="D2983">
        <v>0</v>
      </c>
      <c r="E2983">
        <v>0</v>
      </c>
      <c r="F2983">
        <v>0</v>
      </c>
      <c r="G2983">
        <v>0</v>
      </c>
      <c r="H2983">
        <v>0</v>
      </c>
      <c r="I2983" t="s">
        <v>22</v>
      </c>
      <c r="J2983" t="s">
        <v>22</v>
      </c>
    </row>
    <row r="2984" spans="1:10" x14ac:dyDescent="0.25">
      <c r="A2984" t="s">
        <v>1946</v>
      </c>
      <c r="B2984" t="s">
        <v>101</v>
      </c>
      <c r="C2984">
        <v>0</v>
      </c>
      <c r="D2984">
        <v>0</v>
      </c>
      <c r="E2984">
        <v>0</v>
      </c>
      <c r="F2984" s="2">
        <v>1654430</v>
      </c>
      <c r="G2984">
        <v>0</v>
      </c>
      <c r="H2984">
        <v>0</v>
      </c>
      <c r="I2984" t="s">
        <v>22</v>
      </c>
      <c r="J2984" t="s">
        <v>22</v>
      </c>
    </row>
    <row r="2985" spans="1:10" x14ac:dyDescent="0.25">
      <c r="A2985" t="s">
        <v>1947</v>
      </c>
      <c r="B2985" t="s">
        <v>1948</v>
      </c>
      <c r="C2985">
        <v>0</v>
      </c>
      <c r="D2985">
        <v>0</v>
      </c>
      <c r="E2985">
        <v>0</v>
      </c>
      <c r="F2985">
        <v>0</v>
      </c>
      <c r="G2985">
        <v>0</v>
      </c>
      <c r="H2985">
        <v>0</v>
      </c>
      <c r="I2985" t="s">
        <v>22</v>
      </c>
      <c r="J2985" t="s">
        <v>22</v>
      </c>
    </row>
    <row r="2986" spans="1:10" x14ac:dyDescent="0.25">
      <c r="A2986" t="s">
        <v>1949</v>
      </c>
      <c r="B2986" t="s">
        <v>1746</v>
      </c>
      <c r="C2986">
        <v>0</v>
      </c>
      <c r="D2986" s="2">
        <v>105765</v>
      </c>
      <c r="E2986">
        <v>0</v>
      </c>
      <c r="F2986">
        <v>0</v>
      </c>
      <c r="G2986">
        <v>0</v>
      </c>
      <c r="H2986">
        <v>0</v>
      </c>
      <c r="I2986" t="s">
        <v>22</v>
      </c>
      <c r="J2986" t="s">
        <v>22</v>
      </c>
    </row>
    <row r="2987" spans="1:10" x14ac:dyDescent="0.25">
      <c r="A2987" t="s">
        <v>1950</v>
      </c>
      <c r="B2987" t="s">
        <v>1951</v>
      </c>
      <c r="C2987">
        <v>0</v>
      </c>
      <c r="D2987">
        <v>0</v>
      </c>
      <c r="E2987">
        <v>0</v>
      </c>
      <c r="F2987">
        <v>0</v>
      </c>
      <c r="G2987">
        <v>0</v>
      </c>
      <c r="H2987">
        <v>0</v>
      </c>
      <c r="I2987" t="s">
        <v>22</v>
      </c>
      <c r="J2987" t="s">
        <v>22</v>
      </c>
    </row>
    <row r="2988" spans="1:10" x14ac:dyDescent="0.25">
      <c r="C2988" t="s">
        <v>108</v>
      </c>
      <c r="D2988" t="s">
        <v>108</v>
      </c>
      <c r="E2988" t="s">
        <v>108</v>
      </c>
      <c r="F2988" t="s">
        <v>108</v>
      </c>
      <c r="G2988" t="s">
        <v>108</v>
      </c>
    </row>
    <row r="2989" spans="1:10" x14ac:dyDescent="0.25">
      <c r="H2989" t="s">
        <v>22</v>
      </c>
      <c r="I2989" t="s">
        <v>22</v>
      </c>
      <c r="J2989" t="s">
        <v>22</v>
      </c>
    </row>
    <row r="2990" spans="1:10" x14ac:dyDescent="0.25">
      <c r="A2990" t="s">
        <v>109</v>
      </c>
    </row>
    <row r="2991" spans="1:10" x14ac:dyDescent="0.25">
      <c r="B2991" t="s">
        <v>1952</v>
      </c>
      <c r="C2991" s="2">
        <v>342138</v>
      </c>
      <c r="D2991" s="2">
        <v>983733</v>
      </c>
      <c r="E2991" s="2">
        <v>1152695</v>
      </c>
      <c r="F2991" s="2">
        <v>2501924</v>
      </c>
      <c r="G2991" s="2">
        <v>643615</v>
      </c>
      <c r="H2991">
        <v>0</v>
      </c>
    </row>
    <row r="2993" spans="1:10" x14ac:dyDescent="0.25">
      <c r="A2993" t="s">
        <v>1953</v>
      </c>
      <c r="B2993" t="s">
        <v>501</v>
      </c>
    </row>
    <row r="2994" spans="1:10" x14ac:dyDescent="0.25">
      <c r="A2994" t="s">
        <v>18</v>
      </c>
      <c r="B2994" t="s">
        <v>26</v>
      </c>
    </row>
    <row r="2995" spans="1:10" x14ac:dyDescent="0.25">
      <c r="A2995" t="s">
        <v>1954</v>
      </c>
      <c r="B2995" t="s">
        <v>1955</v>
      </c>
      <c r="C2995" s="2">
        <v>5191347</v>
      </c>
      <c r="D2995" s="2">
        <v>5167203</v>
      </c>
      <c r="E2995" s="2">
        <v>4949325</v>
      </c>
      <c r="F2995" s="2">
        <v>4599617</v>
      </c>
      <c r="G2995" s="2">
        <v>3196432</v>
      </c>
      <c r="H2995">
        <v>0</v>
      </c>
      <c r="I2995" t="s">
        <v>22</v>
      </c>
      <c r="J2995" t="s">
        <v>22</v>
      </c>
    </row>
    <row r="2996" spans="1:10" x14ac:dyDescent="0.25">
      <c r="A2996" t="s">
        <v>1956</v>
      </c>
      <c r="B2996" t="s">
        <v>1957</v>
      </c>
      <c r="C2996">
        <v>0</v>
      </c>
      <c r="D2996">
        <v>0</v>
      </c>
      <c r="E2996">
        <v>0</v>
      </c>
      <c r="F2996">
        <v>0</v>
      </c>
      <c r="G2996">
        <v>0</v>
      </c>
      <c r="H2996">
        <v>0</v>
      </c>
      <c r="I2996" t="s">
        <v>22</v>
      </c>
      <c r="J2996" t="s">
        <v>22</v>
      </c>
    </row>
    <row r="2997" spans="1:10" x14ac:dyDescent="0.25">
      <c r="A2997" t="s">
        <v>1958</v>
      </c>
      <c r="B2997" t="s">
        <v>1959</v>
      </c>
      <c r="C2997">
        <v>0</v>
      </c>
      <c r="D2997">
        <v>0</v>
      </c>
      <c r="E2997">
        <v>0</v>
      </c>
      <c r="F2997">
        <v>0</v>
      </c>
      <c r="G2997">
        <v>0</v>
      </c>
      <c r="H2997">
        <v>0</v>
      </c>
      <c r="I2997" t="s">
        <v>22</v>
      </c>
      <c r="J2997" t="s">
        <v>22</v>
      </c>
    </row>
    <row r="2998" spans="1:10" x14ac:dyDescent="0.25">
      <c r="A2998" t="s">
        <v>1960</v>
      </c>
      <c r="B2998" t="s">
        <v>1961</v>
      </c>
      <c r="C2998" s="2">
        <v>653250</v>
      </c>
      <c r="D2998" s="2">
        <v>303750</v>
      </c>
      <c r="E2998" s="2">
        <v>253500</v>
      </c>
      <c r="F2998" s="2">
        <v>273000</v>
      </c>
      <c r="G2998" s="2">
        <v>111750</v>
      </c>
      <c r="H2998">
        <v>0</v>
      </c>
      <c r="I2998" t="s">
        <v>22</v>
      </c>
      <c r="J2998" t="s">
        <v>22</v>
      </c>
    </row>
    <row r="2999" spans="1:10" x14ac:dyDescent="0.25">
      <c r="A2999" t="s">
        <v>1962</v>
      </c>
      <c r="B2999" t="s">
        <v>1963</v>
      </c>
      <c r="C2999" s="2">
        <v>387762</v>
      </c>
      <c r="D2999" s="2">
        <v>65317</v>
      </c>
      <c r="E2999" s="2">
        <v>70180</v>
      </c>
      <c r="F2999" s="2">
        <v>58644</v>
      </c>
      <c r="G2999" s="2">
        <v>32553</v>
      </c>
      <c r="H2999">
        <v>0</v>
      </c>
      <c r="I2999" t="s">
        <v>22</v>
      </c>
      <c r="J2999" t="s">
        <v>22</v>
      </c>
    </row>
    <row r="3000" spans="1:10" x14ac:dyDescent="0.25">
      <c r="A3000" t="s">
        <v>1964</v>
      </c>
      <c r="B3000" t="s">
        <v>77</v>
      </c>
      <c r="C3000" s="2">
        <v>38918</v>
      </c>
      <c r="D3000" s="2">
        <v>34529</v>
      </c>
      <c r="E3000" s="2">
        <v>48900</v>
      </c>
      <c r="F3000" s="2">
        <v>41199</v>
      </c>
      <c r="G3000" s="2">
        <v>13330</v>
      </c>
      <c r="H3000">
        <v>0</v>
      </c>
      <c r="I3000" t="s">
        <v>22</v>
      </c>
      <c r="J3000" t="s">
        <v>22</v>
      </c>
    </row>
    <row r="3001" spans="1:10" x14ac:dyDescent="0.25">
      <c r="A3001" t="s">
        <v>1965</v>
      </c>
      <c r="B3001" t="s">
        <v>1966</v>
      </c>
      <c r="C3001">
        <v>0</v>
      </c>
      <c r="D3001">
        <v>0</v>
      </c>
      <c r="E3001">
        <v>0</v>
      </c>
      <c r="F3001">
        <v>1</v>
      </c>
      <c r="G3001">
        <v>0</v>
      </c>
      <c r="H3001">
        <v>0</v>
      </c>
      <c r="I3001" t="s">
        <v>22</v>
      </c>
      <c r="J3001" t="s">
        <v>22</v>
      </c>
    </row>
    <row r="3002" spans="1:10" x14ac:dyDescent="0.25">
      <c r="A3002" t="s">
        <v>1967</v>
      </c>
      <c r="B3002" t="s">
        <v>1968</v>
      </c>
      <c r="C3002">
        <v>0</v>
      </c>
      <c r="D3002">
        <v>0</v>
      </c>
      <c r="E3002">
        <v>0</v>
      </c>
      <c r="F3002">
        <v>0</v>
      </c>
      <c r="G3002">
        <v>0</v>
      </c>
      <c r="H3002">
        <v>0</v>
      </c>
      <c r="I3002" t="s">
        <v>22</v>
      </c>
      <c r="J3002" t="s">
        <v>22</v>
      </c>
    </row>
    <row r="3003" spans="1:10" x14ac:dyDescent="0.25">
      <c r="A3003" t="s">
        <v>1969</v>
      </c>
      <c r="B3003" t="s">
        <v>1970</v>
      </c>
      <c r="C3003" s="2">
        <v>111840</v>
      </c>
      <c r="D3003" s="2">
        <v>115365</v>
      </c>
      <c r="E3003" s="2">
        <v>114465</v>
      </c>
      <c r="F3003" s="2">
        <v>117260</v>
      </c>
      <c r="G3003" s="2">
        <v>81285</v>
      </c>
      <c r="H3003">
        <v>0</v>
      </c>
      <c r="I3003" t="s">
        <v>22</v>
      </c>
      <c r="J3003" t="s">
        <v>22</v>
      </c>
    </row>
    <row r="3004" spans="1:10" x14ac:dyDescent="0.25">
      <c r="A3004" t="s">
        <v>1971</v>
      </c>
      <c r="B3004" t="s">
        <v>1972</v>
      </c>
      <c r="C3004">
        <v>0</v>
      </c>
      <c r="D3004">
        <v>0</v>
      </c>
      <c r="E3004">
        <v>0</v>
      </c>
      <c r="F3004">
        <v>0</v>
      </c>
      <c r="G3004">
        <v>0</v>
      </c>
      <c r="H3004">
        <v>0</v>
      </c>
      <c r="I3004" t="s">
        <v>22</v>
      </c>
      <c r="J3004" t="s">
        <v>22</v>
      </c>
    </row>
    <row r="3005" spans="1:10" x14ac:dyDescent="0.25">
      <c r="A3005" t="s">
        <v>1973</v>
      </c>
      <c r="B3005" t="s">
        <v>1974</v>
      </c>
      <c r="C3005">
        <v>0</v>
      </c>
      <c r="D3005">
        <v>0</v>
      </c>
      <c r="E3005">
        <v>0</v>
      </c>
      <c r="F3005">
        <v>0</v>
      </c>
      <c r="G3005">
        <v>0</v>
      </c>
      <c r="H3005">
        <v>0</v>
      </c>
      <c r="I3005" t="s">
        <v>22</v>
      </c>
      <c r="J3005" t="s">
        <v>22</v>
      </c>
    </row>
    <row r="3006" spans="1:10" x14ac:dyDescent="0.25">
      <c r="A3006" t="s">
        <v>1975</v>
      </c>
      <c r="B3006" t="s">
        <v>1976</v>
      </c>
      <c r="C3006">
        <v>125</v>
      </c>
      <c r="D3006">
        <v>0</v>
      </c>
      <c r="E3006">
        <v>0</v>
      </c>
      <c r="F3006">
        <v>0</v>
      </c>
      <c r="G3006">
        <v>0</v>
      </c>
      <c r="H3006">
        <v>0</v>
      </c>
      <c r="I3006" t="s">
        <v>22</v>
      </c>
      <c r="J3006" t="s">
        <v>22</v>
      </c>
    </row>
    <row r="3007" spans="1:10" x14ac:dyDescent="0.25">
      <c r="A3007" t="s">
        <v>1977</v>
      </c>
      <c r="B3007" t="s">
        <v>1978</v>
      </c>
      <c r="C3007">
        <v>0</v>
      </c>
      <c r="D3007">
        <v>0</v>
      </c>
      <c r="E3007">
        <v>0</v>
      </c>
      <c r="F3007">
        <v>0</v>
      </c>
      <c r="G3007">
        <v>0</v>
      </c>
      <c r="H3007">
        <v>0</v>
      </c>
      <c r="I3007" t="s">
        <v>22</v>
      </c>
      <c r="J3007" t="s">
        <v>22</v>
      </c>
    </row>
    <row r="3008" spans="1:10" x14ac:dyDescent="0.25">
      <c r="A3008" t="s">
        <v>1979</v>
      </c>
      <c r="B3008" t="s">
        <v>1980</v>
      </c>
      <c r="C3008">
        <v>0</v>
      </c>
      <c r="D3008">
        <v>0</v>
      </c>
      <c r="E3008">
        <v>0</v>
      </c>
      <c r="F3008">
        <v>0</v>
      </c>
      <c r="G3008">
        <v>0</v>
      </c>
      <c r="H3008">
        <v>0</v>
      </c>
      <c r="I3008" t="s">
        <v>22</v>
      </c>
      <c r="J3008" t="s">
        <v>22</v>
      </c>
    </row>
    <row r="3009" spans="1:10" x14ac:dyDescent="0.25">
      <c r="A3009" t="s">
        <v>1981</v>
      </c>
      <c r="B3009" t="s">
        <v>1656</v>
      </c>
      <c r="C3009">
        <v>0</v>
      </c>
      <c r="D3009">
        <v>0</v>
      </c>
      <c r="E3009">
        <v>0</v>
      </c>
      <c r="F3009" s="2">
        <v>401157</v>
      </c>
      <c r="G3009">
        <v>0</v>
      </c>
      <c r="H3009">
        <v>0</v>
      </c>
      <c r="I3009" t="s">
        <v>22</v>
      </c>
      <c r="J3009" t="s">
        <v>22</v>
      </c>
    </row>
    <row r="3010" spans="1:10" x14ac:dyDescent="0.25">
      <c r="C3010" t="s">
        <v>108</v>
      </c>
      <c r="D3010" t="s">
        <v>108</v>
      </c>
      <c r="E3010" t="s">
        <v>108</v>
      </c>
      <c r="F3010" t="s">
        <v>108</v>
      </c>
      <c r="G3010" t="s">
        <v>108</v>
      </c>
    </row>
    <row r="3011" spans="1:10" x14ac:dyDescent="0.25">
      <c r="H3011" t="s">
        <v>22</v>
      </c>
      <c r="I3011" t="s">
        <v>22</v>
      </c>
      <c r="J3011" t="s">
        <v>22</v>
      </c>
    </row>
    <row r="3012" spans="1:10" x14ac:dyDescent="0.25">
      <c r="A3012" t="s">
        <v>109</v>
      </c>
    </row>
    <row r="3013" spans="1:10" x14ac:dyDescent="0.25">
      <c r="B3013" t="s">
        <v>1982</v>
      </c>
      <c r="C3013" s="2">
        <v>6383242</v>
      </c>
      <c r="D3013" s="2">
        <v>5686164</v>
      </c>
      <c r="E3013" s="2">
        <v>5436370</v>
      </c>
      <c r="F3013" s="2">
        <v>5490878</v>
      </c>
      <c r="G3013" s="2">
        <v>3435351</v>
      </c>
      <c r="H3013">
        <v>0</v>
      </c>
    </row>
    <row r="3014" spans="1:10" x14ac:dyDescent="0.25">
      <c r="A3014" t="s">
        <v>110</v>
      </c>
    </row>
    <row r="3015" spans="1:10" x14ac:dyDescent="0.25">
      <c r="A3015" s="1">
        <v>43991</v>
      </c>
      <c r="B3015" t="s">
        <v>1615</v>
      </c>
      <c r="D3015" t="s">
        <v>112</v>
      </c>
      <c r="E3015" t="s">
        <v>113</v>
      </c>
      <c r="F3015" t="s">
        <v>114</v>
      </c>
      <c r="J3015" t="s">
        <v>115</v>
      </c>
    </row>
    <row r="3016" spans="1:10" x14ac:dyDescent="0.25">
      <c r="D3016" t="s">
        <v>116</v>
      </c>
      <c r="E3016" t="s">
        <v>117</v>
      </c>
      <c r="F3016" t="s">
        <v>118</v>
      </c>
    </row>
    <row r="3017" spans="1:10" x14ac:dyDescent="0.25">
      <c r="D3017" t="s">
        <v>119</v>
      </c>
      <c r="E3017" t="s">
        <v>120</v>
      </c>
      <c r="F3017" t="s">
        <v>121</v>
      </c>
    </row>
    <row r="3018" spans="1:10" x14ac:dyDescent="0.25">
      <c r="A3018" t="s">
        <v>1906</v>
      </c>
      <c r="B3018" t="s">
        <v>1907</v>
      </c>
    </row>
    <row r="3019" spans="1:10" x14ac:dyDescent="0.25">
      <c r="A3019" t="s">
        <v>1</v>
      </c>
    </row>
    <row r="3020" spans="1:10" x14ac:dyDescent="0.25">
      <c r="F3020" t="s">
        <v>2</v>
      </c>
      <c r="G3020" t="s">
        <v>3</v>
      </c>
      <c r="H3020" t="s">
        <v>4</v>
      </c>
      <c r="I3020" t="s">
        <v>5</v>
      </c>
      <c r="J3020" t="s">
        <v>6</v>
      </c>
    </row>
    <row r="3021" spans="1:10" x14ac:dyDescent="0.25">
      <c r="C3021" t="s">
        <v>7</v>
      </c>
      <c r="D3021" t="s">
        <v>8</v>
      </c>
      <c r="E3021" t="s">
        <v>9</v>
      </c>
      <c r="F3021" t="s">
        <v>10</v>
      </c>
      <c r="G3021" t="s">
        <v>124</v>
      </c>
      <c r="H3021" t="s">
        <v>12</v>
      </c>
      <c r="I3021" t="s">
        <v>13</v>
      </c>
      <c r="J3021" t="s">
        <v>14</v>
      </c>
    </row>
    <row r="3022" spans="1:10" x14ac:dyDescent="0.25">
      <c r="C3022" t="s">
        <v>15</v>
      </c>
      <c r="D3022" t="s">
        <v>15</v>
      </c>
      <c r="E3022" t="s">
        <v>15</v>
      </c>
      <c r="F3022" t="s">
        <v>16</v>
      </c>
      <c r="G3022" t="s">
        <v>15</v>
      </c>
      <c r="H3022" t="s">
        <v>17</v>
      </c>
      <c r="I3022" t="s">
        <v>16</v>
      </c>
      <c r="J3022" t="s">
        <v>16</v>
      </c>
    </row>
    <row r="3023" spans="1:10" x14ac:dyDescent="0.25">
      <c r="A3023" t="s">
        <v>18</v>
      </c>
      <c r="B3023" t="s">
        <v>19</v>
      </c>
      <c r="C3023" t="s">
        <v>20</v>
      </c>
      <c r="D3023" t="s">
        <v>21</v>
      </c>
      <c r="E3023" t="s">
        <v>22</v>
      </c>
      <c r="F3023" t="s">
        <v>23</v>
      </c>
      <c r="G3023" t="s">
        <v>24</v>
      </c>
      <c r="H3023" t="s">
        <v>20</v>
      </c>
      <c r="I3023" t="s">
        <v>24</v>
      </c>
      <c r="J3023" t="s">
        <v>20</v>
      </c>
    </row>
    <row r="3025" spans="1:10" x14ac:dyDescent="0.25">
      <c r="A3025" t="s">
        <v>1983</v>
      </c>
      <c r="B3025" t="s">
        <v>501</v>
      </c>
    </row>
    <row r="3026" spans="1:10" x14ac:dyDescent="0.25">
      <c r="A3026" t="s">
        <v>18</v>
      </c>
      <c r="B3026" t="s">
        <v>26</v>
      </c>
    </row>
    <row r="3027" spans="1:10" x14ac:dyDescent="0.25">
      <c r="A3027" t="s">
        <v>1984</v>
      </c>
      <c r="B3027" t="s">
        <v>1985</v>
      </c>
      <c r="C3027" s="2">
        <v>3324580</v>
      </c>
      <c r="D3027" s="2">
        <v>3506835</v>
      </c>
      <c r="E3027" s="2">
        <v>3671744</v>
      </c>
      <c r="F3027" s="2">
        <v>3657038</v>
      </c>
      <c r="G3027" s="2">
        <v>2492037</v>
      </c>
      <c r="H3027">
        <v>0</v>
      </c>
      <c r="I3027" t="s">
        <v>22</v>
      </c>
      <c r="J3027" t="s">
        <v>22</v>
      </c>
    </row>
    <row r="3028" spans="1:10" x14ac:dyDescent="0.25">
      <c r="A3028" t="s">
        <v>1986</v>
      </c>
      <c r="B3028" t="s">
        <v>1959</v>
      </c>
      <c r="C3028">
        <v>0</v>
      </c>
      <c r="D3028">
        <v>0</v>
      </c>
      <c r="E3028">
        <v>0</v>
      </c>
      <c r="F3028">
        <v>0</v>
      </c>
      <c r="G3028">
        <v>0</v>
      </c>
      <c r="H3028">
        <v>0</v>
      </c>
      <c r="I3028" t="s">
        <v>22</v>
      </c>
      <c r="J3028" t="s">
        <v>22</v>
      </c>
    </row>
    <row r="3029" spans="1:10" x14ac:dyDescent="0.25">
      <c r="A3029" t="s">
        <v>1987</v>
      </c>
      <c r="B3029" t="s">
        <v>1988</v>
      </c>
      <c r="C3029" s="2">
        <v>934265</v>
      </c>
      <c r="D3029" s="2">
        <v>468000</v>
      </c>
      <c r="E3029" s="2">
        <v>314250</v>
      </c>
      <c r="F3029" s="2">
        <v>327000</v>
      </c>
      <c r="G3029" s="2">
        <v>170250</v>
      </c>
      <c r="H3029">
        <v>0</v>
      </c>
      <c r="I3029" t="s">
        <v>22</v>
      </c>
      <c r="J3029" t="s">
        <v>22</v>
      </c>
    </row>
    <row r="3030" spans="1:10" x14ac:dyDescent="0.25">
      <c r="A3030" t="s">
        <v>1989</v>
      </c>
      <c r="B3030" t="s">
        <v>1990</v>
      </c>
      <c r="C3030" s="2">
        <v>330280</v>
      </c>
      <c r="D3030" s="2">
        <v>62955</v>
      </c>
      <c r="E3030" s="2">
        <v>71985</v>
      </c>
      <c r="F3030" s="2">
        <v>55347</v>
      </c>
      <c r="G3030" s="2">
        <v>5760</v>
      </c>
      <c r="H3030">
        <v>0</v>
      </c>
      <c r="I3030" t="s">
        <v>22</v>
      </c>
      <c r="J3030" t="s">
        <v>22</v>
      </c>
    </row>
    <row r="3031" spans="1:10" x14ac:dyDescent="0.25">
      <c r="A3031" t="s">
        <v>1991</v>
      </c>
      <c r="B3031" t="s">
        <v>77</v>
      </c>
      <c r="C3031">
        <v>802</v>
      </c>
      <c r="D3031">
        <v>0</v>
      </c>
      <c r="E3031" s="2">
        <v>5700</v>
      </c>
      <c r="F3031" s="2">
        <v>5700</v>
      </c>
      <c r="G3031">
        <v>0</v>
      </c>
      <c r="H3031">
        <v>0</v>
      </c>
      <c r="I3031" t="s">
        <v>22</v>
      </c>
      <c r="J3031" t="s">
        <v>22</v>
      </c>
    </row>
    <row r="3032" spans="1:10" x14ac:dyDescent="0.25">
      <c r="A3032" t="s">
        <v>1992</v>
      </c>
      <c r="B3032" t="s">
        <v>1993</v>
      </c>
      <c r="C3032">
        <v>0</v>
      </c>
      <c r="D3032">
        <v>0</v>
      </c>
      <c r="E3032">
        <v>0</v>
      </c>
      <c r="F3032">
        <v>0</v>
      </c>
      <c r="G3032">
        <v>0</v>
      </c>
      <c r="H3032">
        <v>0</v>
      </c>
      <c r="I3032" t="s">
        <v>22</v>
      </c>
      <c r="J3032" t="s">
        <v>22</v>
      </c>
    </row>
    <row r="3033" spans="1:10" x14ac:dyDescent="0.25">
      <c r="A3033" t="s">
        <v>1994</v>
      </c>
      <c r="B3033" t="s">
        <v>1974</v>
      </c>
      <c r="C3033">
        <v>0</v>
      </c>
      <c r="D3033">
        <v>0</v>
      </c>
      <c r="E3033">
        <v>0</v>
      </c>
      <c r="F3033">
        <v>0</v>
      </c>
      <c r="G3033">
        <v>0</v>
      </c>
      <c r="H3033">
        <v>0</v>
      </c>
      <c r="I3033" t="s">
        <v>22</v>
      </c>
      <c r="J3033" t="s">
        <v>22</v>
      </c>
    </row>
    <row r="3034" spans="1:10" x14ac:dyDescent="0.25">
      <c r="A3034" t="s">
        <v>1995</v>
      </c>
      <c r="B3034" t="s">
        <v>1996</v>
      </c>
      <c r="C3034">
        <v>0</v>
      </c>
      <c r="D3034">
        <v>0</v>
      </c>
      <c r="E3034">
        <v>0</v>
      </c>
      <c r="F3034">
        <v>0</v>
      </c>
      <c r="G3034">
        <v>0</v>
      </c>
      <c r="H3034">
        <v>0</v>
      </c>
      <c r="I3034" t="s">
        <v>22</v>
      </c>
      <c r="J3034" t="s">
        <v>22</v>
      </c>
    </row>
    <row r="3035" spans="1:10" x14ac:dyDescent="0.25">
      <c r="A3035" t="s">
        <v>1997</v>
      </c>
      <c r="B3035" t="s">
        <v>1998</v>
      </c>
      <c r="C3035">
        <v>0</v>
      </c>
      <c r="D3035">
        <v>0</v>
      </c>
      <c r="E3035">
        <v>0</v>
      </c>
      <c r="F3035">
        <v>0</v>
      </c>
      <c r="G3035">
        <v>0</v>
      </c>
      <c r="H3035">
        <v>0</v>
      </c>
      <c r="I3035" t="s">
        <v>22</v>
      </c>
      <c r="J3035" t="s">
        <v>22</v>
      </c>
    </row>
    <row r="3036" spans="1:10" x14ac:dyDescent="0.25">
      <c r="A3036" t="s">
        <v>1999</v>
      </c>
      <c r="B3036" t="s">
        <v>1951</v>
      </c>
      <c r="C3036">
        <v>0</v>
      </c>
      <c r="D3036">
        <v>0</v>
      </c>
      <c r="E3036">
        <v>0</v>
      </c>
      <c r="F3036" s="2">
        <v>590737</v>
      </c>
      <c r="G3036">
        <v>0</v>
      </c>
      <c r="H3036">
        <v>0</v>
      </c>
      <c r="I3036" t="s">
        <v>22</v>
      </c>
      <c r="J3036" t="s">
        <v>22</v>
      </c>
    </row>
    <row r="3037" spans="1:10" x14ac:dyDescent="0.25">
      <c r="C3037" t="s">
        <v>108</v>
      </c>
      <c r="D3037" t="s">
        <v>108</v>
      </c>
      <c r="E3037" t="s">
        <v>108</v>
      </c>
      <c r="F3037" t="s">
        <v>108</v>
      </c>
      <c r="G3037" t="s">
        <v>108</v>
      </c>
    </row>
    <row r="3038" spans="1:10" x14ac:dyDescent="0.25">
      <c r="H3038" t="s">
        <v>22</v>
      </c>
      <c r="I3038" t="s">
        <v>22</v>
      </c>
      <c r="J3038" t="s">
        <v>22</v>
      </c>
    </row>
    <row r="3039" spans="1:10" x14ac:dyDescent="0.25">
      <c r="A3039" t="s">
        <v>109</v>
      </c>
    </row>
    <row r="3040" spans="1:10" x14ac:dyDescent="0.25">
      <c r="B3040" t="s">
        <v>2000</v>
      </c>
      <c r="C3040" s="2">
        <v>4589927</v>
      </c>
      <c r="D3040" s="2">
        <v>4037790</v>
      </c>
      <c r="E3040" s="2">
        <v>4063679</v>
      </c>
      <c r="F3040" s="2">
        <v>4635821</v>
      </c>
      <c r="G3040" s="2">
        <v>2668047</v>
      </c>
      <c r="H3040">
        <v>0</v>
      </c>
    </row>
    <row r="3042" spans="1:10" x14ac:dyDescent="0.25">
      <c r="A3042" t="s">
        <v>2001</v>
      </c>
      <c r="B3042" t="s">
        <v>2002</v>
      </c>
    </row>
    <row r="3043" spans="1:10" x14ac:dyDescent="0.25">
      <c r="A3043" t="s">
        <v>18</v>
      </c>
      <c r="B3043" t="s">
        <v>20</v>
      </c>
    </row>
    <row r="3044" spans="1:10" x14ac:dyDescent="0.25">
      <c r="A3044" t="s">
        <v>2003</v>
      </c>
      <c r="B3044" t="s">
        <v>2004</v>
      </c>
      <c r="C3044">
        <v>0</v>
      </c>
      <c r="D3044">
        <v>0</v>
      </c>
      <c r="E3044">
        <v>0</v>
      </c>
      <c r="F3044">
        <v>0</v>
      </c>
      <c r="G3044">
        <v>0</v>
      </c>
      <c r="H3044">
        <v>0</v>
      </c>
      <c r="I3044" t="s">
        <v>22</v>
      </c>
      <c r="J3044" t="s">
        <v>22</v>
      </c>
    </row>
    <row r="3045" spans="1:10" x14ac:dyDescent="0.25">
      <c r="A3045" t="s">
        <v>2005</v>
      </c>
      <c r="B3045" t="s">
        <v>2006</v>
      </c>
      <c r="C3045" s="2">
        <v>1677000</v>
      </c>
      <c r="D3045">
        <v>0</v>
      </c>
      <c r="E3045">
        <v>0</v>
      </c>
      <c r="F3045">
        <v>0</v>
      </c>
      <c r="G3045">
        <v>0</v>
      </c>
      <c r="H3045">
        <v>0</v>
      </c>
      <c r="I3045" t="s">
        <v>22</v>
      </c>
      <c r="J3045" t="s">
        <v>22</v>
      </c>
    </row>
    <row r="3046" spans="1:10" x14ac:dyDescent="0.25">
      <c r="A3046" t="s">
        <v>2007</v>
      </c>
      <c r="B3046" t="s">
        <v>2008</v>
      </c>
      <c r="C3046">
        <v>0</v>
      </c>
      <c r="D3046">
        <v>0</v>
      </c>
      <c r="E3046">
        <v>0</v>
      </c>
      <c r="F3046">
        <v>0</v>
      </c>
      <c r="G3046">
        <v>0</v>
      </c>
      <c r="H3046">
        <v>0</v>
      </c>
      <c r="I3046" t="s">
        <v>22</v>
      </c>
      <c r="J3046" t="s">
        <v>22</v>
      </c>
    </row>
    <row r="3047" spans="1:10" x14ac:dyDescent="0.25">
      <c r="C3047" t="s">
        <v>108</v>
      </c>
      <c r="D3047" t="s">
        <v>108</v>
      </c>
      <c r="E3047" t="s">
        <v>108</v>
      </c>
      <c r="F3047" t="s">
        <v>108</v>
      </c>
      <c r="G3047" t="s">
        <v>108</v>
      </c>
    </row>
    <row r="3048" spans="1:10" x14ac:dyDescent="0.25">
      <c r="H3048" t="s">
        <v>22</v>
      </c>
      <c r="I3048" t="s">
        <v>22</v>
      </c>
      <c r="J3048" t="s">
        <v>22</v>
      </c>
    </row>
    <row r="3049" spans="1:10" x14ac:dyDescent="0.25">
      <c r="A3049" t="s">
        <v>109</v>
      </c>
    </row>
    <row r="3050" spans="1:10" x14ac:dyDescent="0.25">
      <c r="B3050" t="s">
        <v>2009</v>
      </c>
      <c r="C3050" s="2">
        <v>1677000</v>
      </c>
      <c r="D3050">
        <v>0</v>
      </c>
      <c r="E3050">
        <v>0</v>
      </c>
      <c r="F3050">
        <v>0</v>
      </c>
      <c r="G3050">
        <v>0</v>
      </c>
      <c r="H3050">
        <v>0</v>
      </c>
    </row>
    <row r="3051" spans="1:10" x14ac:dyDescent="0.25">
      <c r="A3051" t="s">
        <v>18</v>
      </c>
      <c r="B3051" t="s">
        <v>19</v>
      </c>
      <c r="C3051" t="s">
        <v>20</v>
      </c>
      <c r="D3051" t="s">
        <v>21</v>
      </c>
      <c r="E3051" t="s">
        <v>26</v>
      </c>
    </row>
    <row r="3052" spans="1:10" x14ac:dyDescent="0.25">
      <c r="E3052" t="s">
        <v>339</v>
      </c>
      <c r="F3052" t="s">
        <v>23</v>
      </c>
      <c r="G3052" t="s">
        <v>24</v>
      </c>
      <c r="H3052" t="s">
        <v>20</v>
      </c>
      <c r="I3052" t="s">
        <v>24</v>
      </c>
      <c r="J3052" t="s">
        <v>20</v>
      </c>
    </row>
    <row r="3054" spans="1:10" x14ac:dyDescent="0.25">
      <c r="A3054" t="s">
        <v>383</v>
      </c>
      <c r="B3054" t="s">
        <v>384</v>
      </c>
      <c r="C3054" s="2">
        <v>12993234</v>
      </c>
      <c r="D3054" s="2">
        <v>10707688</v>
      </c>
      <c r="E3054" s="2">
        <v>10653769</v>
      </c>
      <c r="F3054" s="2">
        <v>12628623</v>
      </c>
      <c r="G3054" s="2">
        <v>6747012</v>
      </c>
      <c r="H3054">
        <v>0</v>
      </c>
    </row>
    <row r="3055" spans="1:10" x14ac:dyDescent="0.25">
      <c r="A3055" t="s">
        <v>110</v>
      </c>
    </row>
    <row r="3056" spans="1:10" x14ac:dyDescent="0.25">
      <c r="A3056" s="1">
        <v>43991</v>
      </c>
      <c r="B3056" t="s">
        <v>1615</v>
      </c>
      <c r="D3056" t="s">
        <v>112</v>
      </c>
      <c r="E3056" t="s">
        <v>113</v>
      </c>
      <c r="F3056" t="s">
        <v>114</v>
      </c>
      <c r="J3056" t="s">
        <v>217</v>
      </c>
    </row>
    <row r="3057" spans="1:10" x14ac:dyDescent="0.25">
      <c r="D3057" t="s">
        <v>116</v>
      </c>
      <c r="E3057" t="s">
        <v>117</v>
      </c>
      <c r="F3057" t="s">
        <v>118</v>
      </c>
    </row>
    <row r="3058" spans="1:10" x14ac:dyDescent="0.25">
      <c r="D3058" t="s">
        <v>119</v>
      </c>
      <c r="E3058" t="s">
        <v>120</v>
      </c>
      <c r="F3058" t="s">
        <v>121</v>
      </c>
    </row>
    <row r="3059" spans="1:10" x14ac:dyDescent="0.25">
      <c r="A3059" t="s">
        <v>1906</v>
      </c>
      <c r="B3059" t="s">
        <v>1907</v>
      </c>
    </row>
    <row r="3060" spans="1:10" x14ac:dyDescent="0.25">
      <c r="A3060" t="s">
        <v>386</v>
      </c>
    </row>
    <row r="3061" spans="1:10" x14ac:dyDescent="0.25">
      <c r="F3061" t="s">
        <v>2</v>
      </c>
      <c r="G3061" t="s">
        <v>3</v>
      </c>
      <c r="H3061" t="s">
        <v>4</v>
      </c>
      <c r="I3061" t="s">
        <v>5</v>
      </c>
      <c r="J3061" t="s">
        <v>6</v>
      </c>
    </row>
    <row r="3062" spans="1:10" x14ac:dyDescent="0.25">
      <c r="C3062" t="s">
        <v>7</v>
      </c>
      <c r="D3062" t="s">
        <v>8</v>
      </c>
      <c r="E3062" t="s">
        <v>9</v>
      </c>
      <c r="F3062" t="s">
        <v>10</v>
      </c>
      <c r="G3062" t="s">
        <v>124</v>
      </c>
      <c r="H3062" t="s">
        <v>12</v>
      </c>
      <c r="I3062" t="s">
        <v>13</v>
      </c>
      <c r="J3062" t="s">
        <v>14</v>
      </c>
    </row>
    <row r="3063" spans="1:10" x14ac:dyDescent="0.25">
      <c r="C3063" t="s">
        <v>15</v>
      </c>
      <c r="D3063" t="s">
        <v>15</v>
      </c>
      <c r="E3063" t="s">
        <v>15</v>
      </c>
      <c r="F3063" t="s">
        <v>16</v>
      </c>
      <c r="G3063" t="s">
        <v>15</v>
      </c>
      <c r="H3063" t="s">
        <v>17</v>
      </c>
      <c r="I3063" t="s">
        <v>16</v>
      </c>
      <c r="J3063" t="s">
        <v>16</v>
      </c>
    </row>
    <row r="3064" spans="1:10" x14ac:dyDescent="0.25">
      <c r="A3064" t="s">
        <v>18</v>
      </c>
      <c r="B3064" t="s">
        <v>19</v>
      </c>
      <c r="C3064" t="s">
        <v>20</v>
      </c>
      <c r="D3064" t="s">
        <v>21</v>
      </c>
      <c r="E3064" t="s">
        <v>22</v>
      </c>
      <c r="F3064" t="s">
        <v>23</v>
      </c>
      <c r="G3064" t="s">
        <v>24</v>
      </c>
      <c r="H3064" t="s">
        <v>20</v>
      </c>
      <c r="I3064" t="s">
        <v>24</v>
      </c>
      <c r="J3064" t="s">
        <v>20</v>
      </c>
    </row>
    <row r="3067" spans="1:10" x14ac:dyDescent="0.25">
      <c r="A3067" t="s">
        <v>2010</v>
      </c>
      <c r="B3067" t="s">
        <v>2011</v>
      </c>
    </row>
    <row r="3068" spans="1:10" x14ac:dyDescent="0.25">
      <c r="A3068" t="s">
        <v>389</v>
      </c>
      <c r="B3068" t="s">
        <v>1541</v>
      </c>
    </row>
    <row r="3070" spans="1:10" x14ac:dyDescent="0.25">
      <c r="A3070" t="s">
        <v>391</v>
      </c>
      <c r="B3070" t="s">
        <v>392</v>
      </c>
    </row>
    <row r="3071" spans="1:10" x14ac:dyDescent="0.25">
      <c r="A3071" t="s">
        <v>18</v>
      </c>
      <c r="B3071" t="s">
        <v>228</v>
      </c>
    </row>
    <row r="3072" spans="1:10" x14ac:dyDescent="0.25">
      <c r="A3072" t="s">
        <v>2012</v>
      </c>
      <c r="B3072" t="s">
        <v>394</v>
      </c>
      <c r="C3072" s="2">
        <v>6477</v>
      </c>
      <c r="D3072" s="2">
        <v>-3190</v>
      </c>
      <c r="E3072">
        <v>0</v>
      </c>
      <c r="F3072">
        <v>0</v>
      </c>
      <c r="G3072">
        <v>0</v>
      </c>
      <c r="H3072">
        <v>0</v>
      </c>
      <c r="I3072" t="s">
        <v>22</v>
      </c>
      <c r="J3072" t="s">
        <v>22</v>
      </c>
    </row>
    <row r="3073" spans="1:10" x14ac:dyDescent="0.25">
      <c r="A3073" t="s">
        <v>2013</v>
      </c>
      <c r="B3073" t="s">
        <v>396</v>
      </c>
      <c r="C3073">
        <v>27</v>
      </c>
      <c r="D3073">
        <v>35</v>
      </c>
      <c r="E3073">
        <v>361</v>
      </c>
      <c r="F3073">
        <v>756</v>
      </c>
      <c r="G3073">
        <v>0</v>
      </c>
      <c r="H3073">
        <v>0</v>
      </c>
      <c r="I3073" t="s">
        <v>22</v>
      </c>
      <c r="J3073" t="s">
        <v>22</v>
      </c>
    </row>
    <row r="3074" spans="1:10" x14ac:dyDescent="0.25">
      <c r="A3074" t="s">
        <v>2014</v>
      </c>
      <c r="B3074" t="s">
        <v>398</v>
      </c>
      <c r="C3074" s="2">
        <v>8209</v>
      </c>
      <c r="D3074" s="2">
        <v>9688</v>
      </c>
      <c r="E3074" s="2">
        <v>9118</v>
      </c>
      <c r="F3074" s="2">
        <v>10402</v>
      </c>
      <c r="G3074" s="2">
        <v>7168</v>
      </c>
      <c r="H3074">
        <v>0</v>
      </c>
      <c r="I3074" t="s">
        <v>22</v>
      </c>
      <c r="J3074" t="s">
        <v>22</v>
      </c>
    </row>
    <row r="3075" spans="1:10" x14ac:dyDescent="0.25">
      <c r="A3075" t="s">
        <v>2015</v>
      </c>
      <c r="B3075" t="s">
        <v>400</v>
      </c>
      <c r="C3075" s="2">
        <v>-105755</v>
      </c>
      <c r="D3075" s="2">
        <v>35795</v>
      </c>
      <c r="E3075" s="2">
        <v>10548</v>
      </c>
      <c r="F3075" s="2">
        <v>12904</v>
      </c>
      <c r="G3075" s="2">
        <v>7775</v>
      </c>
      <c r="H3075">
        <v>0</v>
      </c>
      <c r="I3075" t="s">
        <v>22</v>
      </c>
      <c r="J3075" t="s">
        <v>22</v>
      </c>
    </row>
    <row r="3076" spans="1:10" x14ac:dyDescent="0.25">
      <c r="A3076" t="s">
        <v>2016</v>
      </c>
      <c r="B3076" t="s">
        <v>574</v>
      </c>
      <c r="C3076" s="2">
        <v>31112</v>
      </c>
      <c r="D3076" s="2">
        <v>30776</v>
      </c>
      <c r="E3076" s="2">
        <v>27820</v>
      </c>
      <c r="F3076" s="2">
        <v>33240</v>
      </c>
      <c r="G3076" s="2">
        <v>18492</v>
      </c>
      <c r="H3076">
        <v>0</v>
      </c>
      <c r="I3076" t="s">
        <v>22</v>
      </c>
      <c r="J3076" t="s">
        <v>22</v>
      </c>
    </row>
    <row r="3077" spans="1:10" x14ac:dyDescent="0.25">
      <c r="A3077" t="s">
        <v>2017</v>
      </c>
      <c r="B3077" t="s">
        <v>404</v>
      </c>
      <c r="C3077" s="2">
        <v>1915</v>
      </c>
      <c r="D3077" s="2">
        <v>1989</v>
      </c>
      <c r="E3077" s="2">
        <v>1806</v>
      </c>
      <c r="F3077" s="2">
        <v>1962</v>
      </c>
      <c r="G3077" s="2">
        <v>1213</v>
      </c>
      <c r="H3077">
        <v>0</v>
      </c>
      <c r="I3077" t="s">
        <v>22</v>
      </c>
      <c r="J3077" t="s">
        <v>22</v>
      </c>
    </row>
    <row r="3078" spans="1:10" x14ac:dyDescent="0.25">
      <c r="A3078" t="s">
        <v>2018</v>
      </c>
      <c r="B3078" t="s">
        <v>406</v>
      </c>
      <c r="C3078">
        <v>736</v>
      </c>
      <c r="D3078" s="2">
        <v>1998</v>
      </c>
      <c r="E3078">
        <v>534</v>
      </c>
      <c r="F3078">
        <v>588</v>
      </c>
      <c r="G3078" s="2">
        <v>1007</v>
      </c>
      <c r="H3078">
        <v>0</v>
      </c>
      <c r="I3078" t="s">
        <v>22</v>
      </c>
      <c r="J3078" t="s">
        <v>22</v>
      </c>
    </row>
    <row r="3079" spans="1:10" x14ac:dyDescent="0.25">
      <c r="A3079" t="s">
        <v>2019</v>
      </c>
      <c r="B3079" t="s">
        <v>1200</v>
      </c>
      <c r="C3079">
        <v>0</v>
      </c>
      <c r="D3079">
        <v>0</v>
      </c>
      <c r="E3079">
        <v>0</v>
      </c>
      <c r="F3079">
        <v>0</v>
      </c>
      <c r="G3079">
        <v>0</v>
      </c>
      <c r="H3079">
        <v>0</v>
      </c>
      <c r="I3079" t="s">
        <v>22</v>
      </c>
      <c r="J3079" t="s">
        <v>22</v>
      </c>
    </row>
    <row r="3080" spans="1:10" x14ac:dyDescent="0.25">
      <c r="A3080" t="s">
        <v>2020</v>
      </c>
      <c r="B3080" t="s">
        <v>2021</v>
      </c>
      <c r="C3080" s="2">
        <v>37528</v>
      </c>
      <c r="D3080" s="2">
        <v>1451</v>
      </c>
      <c r="E3080">
        <v>0</v>
      </c>
      <c r="F3080">
        <v>0</v>
      </c>
      <c r="G3080">
        <v>0</v>
      </c>
      <c r="H3080">
        <v>0</v>
      </c>
      <c r="I3080" t="s">
        <v>22</v>
      </c>
      <c r="J3080" t="s">
        <v>22</v>
      </c>
    </row>
    <row r="3081" spans="1:10" x14ac:dyDescent="0.25">
      <c r="A3081" t="s">
        <v>2022</v>
      </c>
      <c r="B3081" t="s">
        <v>422</v>
      </c>
      <c r="C3081">
        <v>0</v>
      </c>
      <c r="D3081">
        <v>0</v>
      </c>
      <c r="E3081">
        <v>0</v>
      </c>
      <c r="F3081">
        <v>0</v>
      </c>
      <c r="G3081">
        <v>0</v>
      </c>
      <c r="H3081">
        <v>0</v>
      </c>
      <c r="I3081" t="s">
        <v>22</v>
      </c>
      <c r="J3081" t="s">
        <v>22</v>
      </c>
    </row>
    <row r="3082" spans="1:10" x14ac:dyDescent="0.25">
      <c r="A3082" t="s">
        <v>2023</v>
      </c>
      <c r="B3082" t="s">
        <v>424</v>
      </c>
      <c r="C3082">
        <v>484</v>
      </c>
      <c r="D3082">
        <v>554</v>
      </c>
      <c r="E3082">
        <v>657</v>
      </c>
      <c r="F3082">
        <v>692</v>
      </c>
      <c r="G3082">
        <v>692</v>
      </c>
      <c r="H3082">
        <v>0</v>
      </c>
      <c r="I3082" t="s">
        <v>22</v>
      </c>
      <c r="J3082" t="s">
        <v>22</v>
      </c>
    </row>
    <row r="3083" spans="1:10" x14ac:dyDescent="0.25">
      <c r="A3083" t="s">
        <v>2024</v>
      </c>
      <c r="B3083" t="s">
        <v>426</v>
      </c>
      <c r="C3083" s="2">
        <v>1215</v>
      </c>
      <c r="D3083">
        <v>810</v>
      </c>
      <c r="E3083" s="2">
        <v>1215</v>
      </c>
      <c r="F3083" s="2">
        <v>1215</v>
      </c>
      <c r="G3083">
        <v>830</v>
      </c>
      <c r="H3083">
        <v>0</v>
      </c>
      <c r="I3083" t="s">
        <v>22</v>
      </c>
      <c r="J3083" t="s">
        <v>22</v>
      </c>
    </row>
    <row r="3084" spans="1:10" x14ac:dyDescent="0.25">
      <c r="A3084" t="s">
        <v>2025</v>
      </c>
      <c r="B3084" t="s">
        <v>1204</v>
      </c>
      <c r="C3084">
        <v>0</v>
      </c>
      <c r="D3084">
        <v>0</v>
      </c>
      <c r="E3084">
        <v>0</v>
      </c>
      <c r="F3084">
        <v>0</v>
      </c>
      <c r="G3084">
        <v>0</v>
      </c>
      <c r="H3084">
        <v>0</v>
      </c>
      <c r="I3084" t="s">
        <v>22</v>
      </c>
      <c r="J3084" t="s">
        <v>22</v>
      </c>
    </row>
    <row r="3085" spans="1:10" x14ac:dyDescent="0.25">
      <c r="A3085" t="s">
        <v>2026</v>
      </c>
      <c r="B3085" t="s">
        <v>428</v>
      </c>
      <c r="C3085">
        <v>600</v>
      </c>
      <c r="D3085">
        <v>600</v>
      </c>
      <c r="E3085">
        <v>600</v>
      </c>
      <c r="F3085">
        <v>600</v>
      </c>
      <c r="G3085">
        <v>415</v>
      </c>
      <c r="H3085">
        <v>0</v>
      </c>
      <c r="I3085" t="s">
        <v>22</v>
      </c>
      <c r="J3085" t="s">
        <v>22</v>
      </c>
    </row>
    <row r="3086" spans="1:10" x14ac:dyDescent="0.25">
      <c r="A3086" t="s">
        <v>2027</v>
      </c>
      <c r="B3086" t="s">
        <v>430</v>
      </c>
      <c r="C3086">
        <v>104</v>
      </c>
      <c r="D3086">
        <v>104</v>
      </c>
      <c r="E3086">
        <v>104</v>
      </c>
      <c r="F3086">
        <v>104</v>
      </c>
      <c r="G3086">
        <v>104</v>
      </c>
      <c r="H3086">
        <v>0</v>
      </c>
      <c r="I3086" t="s">
        <v>22</v>
      </c>
      <c r="J3086" t="s">
        <v>22</v>
      </c>
    </row>
    <row r="3087" spans="1:10" x14ac:dyDescent="0.25">
      <c r="A3087" t="s">
        <v>2028</v>
      </c>
      <c r="B3087" t="s">
        <v>695</v>
      </c>
      <c r="C3087">
        <v>0</v>
      </c>
      <c r="D3087">
        <v>0</v>
      </c>
      <c r="E3087">
        <v>0</v>
      </c>
      <c r="F3087">
        <v>0</v>
      </c>
      <c r="G3087">
        <v>0</v>
      </c>
      <c r="H3087">
        <v>0</v>
      </c>
      <c r="I3087" t="s">
        <v>22</v>
      </c>
      <c r="J3087" t="s">
        <v>22</v>
      </c>
    </row>
    <row r="3088" spans="1:10" x14ac:dyDescent="0.25">
      <c r="A3088" t="s">
        <v>2029</v>
      </c>
      <c r="B3088" t="s">
        <v>432</v>
      </c>
      <c r="C3088">
        <v>0</v>
      </c>
      <c r="D3088">
        <v>0</v>
      </c>
      <c r="E3088">
        <v>0</v>
      </c>
      <c r="F3088">
        <v>0</v>
      </c>
      <c r="G3088">
        <v>151</v>
      </c>
      <c r="H3088">
        <v>0</v>
      </c>
      <c r="I3088" t="s">
        <v>22</v>
      </c>
      <c r="J3088" t="s">
        <v>22</v>
      </c>
    </row>
    <row r="3089" spans="1:10" x14ac:dyDescent="0.25">
      <c r="A3089" t="s">
        <v>2030</v>
      </c>
      <c r="B3089" t="s">
        <v>2031</v>
      </c>
      <c r="C3089">
        <v>0</v>
      </c>
      <c r="D3089">
        <v>0</v>
      </c>
      <c r="E3089">
        <v>0</v>
      </c>
      <c r="F3089">
        <v>0</v>
      </c>
      <c r="G3089">
        <v>0</v>
      </c>
      <c r="H3089">
        <v>0</v>
      </c>
      <c r="I3089" t="s">
        <v>22</v>
      </c>
      <c r="J3089" t="s">
        <v>22</v>
      </c>
    </row>
    <row r="3090" spans="1:10" x14ac:dyDescent="0.25">
      <c r="A3090" t="s">
        <v>2032</v>
      </c>
      <c r="B3090" t="s">
        <v>436</v>
      </c>
      <c r="C3090">
        <v>0</v>
      </c>
      <c r="D3090">
        <v>0</v>
      </c>
      <c r="E3090">
        <v>0</v>
      </c>
      <c r="F3090">
        <v>0</v>
      </c>
      <c r="G3090">
        <v>0</v>
      </c>
      <c r="H3090">
        <v>0</v>
      </c>
      <c r="I3090" t="s">
        <v>22</v>
      </c>
      <c r="J3090" t="s">
        <v>22</v>
      </c>
    </row>
    <row r="3091" spans="1:10" x14ac:dyDescent="0.25">
      <c r="A3091" t="s">
        <v>2033</v>
      </c>
      <c r="B3091" t="s">
        <v>2034</v>
      </c>
      <c r="C3091">
        <v>0</v>
      </c>
      <c r="D3091">
        <v>0</v>
      </c>
      <c r="E3091">
        <v>0</v>
      </c>
      <c r="F3091">
        <v>0</v>
      </c>
      <c r="G3091">
        <v>0</v>
      </c>
      <c r="H3091">
        <v>0</v>
      </c>
      <c r="I3091" t="s">
        <v>22</v>
      </c>
      <c r="J3091" t="s">
        <v>22</v>
      </c>
    </row>
    <row r="3092" spans="1:10" x14ac:dyDescent="0.25">
      <c r="A3092" t="s">
        <v>2035</v>
      </c>
      <c r="B3092" t="s">
        <v>2036</v>
      </c>
      <c r="C3092" s="2">
        <v>81158</v>
      </c>
      <c r="D3092" s="2">
        <v>123239</v>
      </c>
      <c r="E3092" s="2">
        <v>116792</v>
      </c>
      <c r="F3092" s="2">
        <v>133366</v>
      </c>
      <c r="G3092" s="2">
        <v>91803</v>
      </c>
      <c r="H3092">
        <v>0</v>
      </c>
      <c r="I3092" t="s">
        <v>22</v>
      </c>
      <c r="J3092" t="s">
        <v>22</v>
      </c>
    </row>
    <row r="3093" spans="1:10" x14ac:dyDescent="0.25">
      <c r="C3093" t="s">
        <v>108</v>
      </c>
      <c r="D3093" t="s">
        <v>108</v>
      </c>
      <c r="E3093" t="s">
        <v>108</v>
      </c>
      <c r="F3093" t="s">
        <v>108</v>
      </c>
      <c r="G3093" t="s">
        <v>108</v>
      </c>
    </row>
    <row r="3094" spans="1:10" x14ac:dyDescent="0.25">
      <c r="H3094" t="s">
        <v>22</v>
      </c>
      <c r="I3094" t="s">
        <v>22</v>
      </c>
      <c r="J3094" t="s">
        <v>22</v>
      </c>
    </row>
    <row r="3095" spans="1:10" x14ac:dyDescent="0.25">
      <c r="A3095" t="s">
        <v>109</v>
      </c>
    </row>
    <row r="3096" spans="1:10" x14ac:dyDescent="0.25">
      <c r="B3096" t="s">
        <v>441</v>
      </c>
      <c r="C3096" s="2">
        <v>63810</v>
      </c>
      <c r="D3096" s="2">
        <v>203847</v>
      </c>
      <c r="E3096" s="2">
        <v>169555</v>
      </c>
      <c r="F3096" s="2">
        <v>195829</v>
      </c>
      <c r="G3096" s="2">
        <v>129651</v>
      </c>
      <c r="H3096">
        <v>0</v>
      </c>
    </row>
    <row r="3098" spans="1:10" x14ac:dyDescent="0.25">
      <c r="A3098" t="s">
        <v>442</v>
      </c>
      <c r="B3098" t="s">
        <v>443</v>
      </c>
    </row>
    <row r="3099" spans="1:10" x14ac:dyDescent="0.25">
      <c r="A3099" t="s">
        <v>18</v>
      </c>
      <c r="B3099" t="s">
        <v>21</v>
      </c>
    </row>
    <row r="3100" spans="1:10" x14ac:dyDescent="0.25">
      <c r="A3100" t="s">
        <v>2037</v>
      </c>
      <c r="B3100" t="s">
        <v>445</v>
      </c>
      <c r="C3100">
        <v>0</v>
      </c>
      <c r="D3100">
        <v>370</v>
      </c>
      <c r="E3100">
        <v>0</v>
      </c>
      <c r="F3100">
        <v>0</v>
      </c>
      <c r="G3100">
        <v>0</v>
      </c>
      <c r="H3100">
        <v>0</v>
      </c>
      <c r="I3100" t="s">
        <v>22</v>
      </c>
      <c r="J3100" t="s">
        <v>22</v>
      </c>
    </row>
    <row r="3101" spans="1:10" x14ac:dyDescent="0.25">
      <c r="A3101" t="s">
        <v>2038</v>
      </c>
      <c r="B3101" t="s">
        <v>2039</v>
      </c>
      <c r="C3101">
        <v>0</v>
      </c>
      <c r="D3101" s="2">
        <v>99770</v>
      </c>
      <c r="E3101">
        <v>0</v>
      </c>
      <c r="F3101">
        <v>0</v>
      </c>
      <c r="G3101">
        <v>0</v>
      </c>
      <c r="H3101">
        <v>0</v>
      </c>
      <c r="I3101" t="s">
        <v>22</v>
      </c>
      <c r="J3101" t="s">
        <v>22</v>
      </c>
    </row>
    <row r="3102" spans="1:10" x14ac:dyDescent="0.25">
      <c r="A3102" t="s">
        <v>2040</v>
      </c>
      <c r="B3102" t="s">
        <v>447</v>
      </c>
      <c r="C3102">
        <v>0</v>
      </c>
      <c r="D3102">
        <v>224</v>
      </c>
      <c r="E3102">
        <v>0</v>
      </c>
      <c r="F3102">
        <v>300</v>
      </c>
      <c r="G3102">
        <v>0</v>
      </c>
      <c r="H3102">
        <v>0</v>
      </c>
      <c r="I3102" t="s">
        <v>22</v>
      </c>
      <c r="J3102" t="s">
        <v>22</v>
      </c>
    </row>
    <row r="3103" spans="1:10" x14ac:dyDescent="0.25">
      <c r="A3103" t="s">
        <v>2041</v>
      </c>
      <c r="B3103" t="s">
        <v>449</v>
      </c>
      <c r="C3103">
        <v>641</v>
      </c>
      <c r="D3103" s="2">
        <v>2320</v>
      </c>
      <c r="E3103">
        <v>610</v>
      </c>
      <c r="F3103" s="2">
        <v>2000</v>
      </c>
      <c r="G3103">
        <v>415</v>
      </c>
      <c r="H3103">
        <v>0</v>
      </c>
      <c r="I3103" t="s">
        <v>22</v>
      </c>
      <c r="J3103" t="s">
        <v>22</v>
      </c>
    </row>
    <row r="3104" spans="1:10" x14ac:dyDescent="0.25">
      <c r="A3104" t="s">
        <v>2042</v>
      </c>
      <c r="B3104" t="s">
        <v>451</v>
      </c>
      <c r="C3104">
        <v>26</v>
      </c>
      <c r="D3104" s="2">
        <v>2198</v>
      </c>
      <c r="E3104">
        <v>0</v>
      </c>
      <c r="F3104" s="2">
        <v>2500</v>
      </c>
      <c r="G3104">
        <v>0</v>
      </c>
      <c r="H3104">
        <v>0</v>
      </c>
      <c r="I3104" t="s">
        <v>22</v>
      </c>
      <c r="J3104" t="s">
        <v>22</v>
      </c>
    </row>
    <row r="3105" spans="1:10" x14ac:dyDescent="0.25">
      <c r="A3105" t="s">
        <v>2043</v>
      </c>
      <c r="B3105" t="s">
        <v>457</v>
      </c>
      <c r="C3105">
        <v>9</v>
      </c>
      <c r="D3105">
        <v>14</v>
      </c>
      <c r="E3105">
        <v>0</v>
      </c>
      <c r="F3105">
        <v>0</v>
      </c>
      <c r="G3105">
        <v>0</v>
      </c>
      <c r="H3105">
        <v>0</v>
      </c>
      <c r="I3105" t="s">
        <v>22</v>
      </c>
      <c r="J3105" t="s">
        <v>22</v>
      </c>
    </row>
    <row r="3106" spans="1:10" x14ac:dyDescent="0.25">
      <c r="A3106" t="s">
        <v>2044</v>
      </c>
      <c r="B3106" t="s">
        <v>459</v>
      </c>
      <c r="C3106">
        <v>0</v>
      </c>
      <c r="D3106">
        <v>0</v>
      </c>
      <c r="E3106">
        <v>0</v>
      </c>
      <c r="F3106">
        <v>115</v>
      </c>
      <c r="G3106">
        <v>0</v>
      </c>
      <c r="H3106">
        <v>0</v>
      </c>
      <c r="I3106" t="s">
        <v>22</v>
      </c>
      <c r="J3106" t="s">
        <v>22</v>
      </c>
    </row>
    <row r="3107" spans="1:10" x14ac:dyDescent="0.25">
      <c r="A3107" t="s">
        <v>2045</v>
      </c>
      <c r="B3107" t="s">
        <v>461</v>
      </c>
      <c r="C3107">
        <v>0</v>
      </c>
      <c r="D3107">
        <v>0</v>
      </c>
      <c r="E3107">
        <v>0</v>
      </c>
      <c r="F3107">
        <v>0</v>
      </c>
      <c r="G3107">
        <v>0</v>
      </c>
      <c r="H3107">
        <v>0</v>
      </c>
      <c r="I3107" t="s">
        <v>22</v>
      </c>
      <c r="J3107" t="s">
        <v>22</v>
      </c>
    </row>
    <row r="3108" spans="1:10" x14ac:dyDescent="0.25">
      <c r="A3108" t="s">
        <v>2046</v>
      </c>
      <c r="B3108" t="s">
        <v>1232</v>
      </c>
      <c r="C3108">
        <v>0</v>
      </c>
      <c r="D3108">
        <v>0</v>
      </c>
      <c r="E3108">
        <v>0</v>
      </c>
      <c r="F3108">
        <v>0</v>
      </c>
      <c r="G3108">
        <v>0</v>
      </c>
      <c r="H3108">
        <v>0</v>
      </c>
      <c r="I3108" t="s">
        <v>22</v>
      </c>
      <c r="J3108" t="s">
        <v>22</v>
      </c>
    </row>
    <row r="3109" spans="1:10" x14ac:dyDescent="0.25">
      <c r="A3109" t="s">
        <v>2047</v>
      </c>
      <c r="B3109" t="s">
        <v>710</v>
      </c>
      <c r="C3109" s="2">
        <v>85661</v>
      </c>
      <c r="D3109" s="2">
        <v>116782</v>
      </c>
      <c r="E3109" s="2">
        <v>131382</v>
      </c>
      <c r="F3109" s="2">
        <v>137000</v>
      </c>
      <c r="G3109" s="2">
        <v>71693</v>
      </c>
      <c r="H3109">
        <v>0</v>
      </c>
      <c r="I3109" t="s">
        <v>22</v>
      </c>
      <c r="J3109" t="s">
        <v>22</v>
      </c>
    </row>
    <row r="3110" spans="1:10" x14ac:dyDescent="0.25">
      <c r="A3110" t="s">
        <v>2048</v>
      </c>
      <c r="B3110" t="s">
        <v>471</v>
      </c>
      <c r="C3110">
        <v>0</v>
      </c>
      <c r="D3110">
        <v>675</v>
      </c>
      <c r="E3110">
        <v>95</v>
      </c>
      <c r="F3110">
        <v>145</v>
      </c>
      <c r="G3110">
        <v>0</v>
      </c>
      <c r="H3110">
        <v>0</v>
      </c>
      <c r="I3110" t="s">
        <v>22</v>
      </c>
      <c r="J3110" t="s">
        <v>22</v>
      </c>
    </row>
    <row r="3111" spans="1:10" x14ac:dyDescent="0.25">
      <c r="A3111" t="s">
        <v>2049</v>
      </c>
      <c r="B3111" t="s">
        <v>473</v>
      </c>
      <c r="C3111">
        <v>0</v>
      </c>
      <c r="D3111">
        <v>0</v>
      </c>
      <c r="E3111">
        <v>0</v>
      </c>
      <c r="F3111">
        <v>0</v>
      </c>
      <c r="G3111">
        <v>0</v>
      </c>
      <c r="H3111">
        <v>0</v>
      </c>
      <c r="I3111" t="s">
        <v>22</v>
      </c>
      <c r="J3111" t="s">
        <v>22</v>
      </c>
    </row>
    <row r="3112" spans="1:10" x14ac:dyDescent="0.25">
      <c r="A3112" t="s">
        <v>2050</v>
      </c>
      <c r="B3112" t="s">
        <v>626</v>
      </c>
      <c r="C3112">
        <v>0</v>
      </c>
      <c r="D3112">
        <v>0</v>
      </c>
      <c r="E3112">
        <v>0</v>
      </c>
      <c r="F3112">
        <v>0</v>
      </c>
      <c r="G3112">
        <v>0</v>
      </c>
      <c r="H3112">
        <v>0</v>
      </c>
      <c r="I3112" t="s">
        <v>22</v>
      </c>
      <c r="J3112" t="s">
        <v>22</v>
      </c>
    </row>
    <row r="3113" spans="1:10" x14ac:dyDescent="0.25">
      <c r="A3113" t="s">
        <v>2051</v>
      </c>
      <c r="B3113" t="s">
        <v>1246</v>
      </c>
      <c r="C3113">
        <v>0</v>
      </c>
      <c r="D3113">
        <v>0</v>
      </c>
      <c r="E3113">
        <v>0</v>
      </c>
      <c r="F3113">
        <v>0</v>
      </c>
      <c r="G3113">
        <v>0</v>
      </c>
      <c r="H3113">
        <v>0</v>
      </c>
      <c r="I3113" t="s">
        <v>22</v>
      </c>
      <c r="J3113" t="s">
        <v>22</v>
      </c>
    </row>
    <row r="3114" spans="1:10" x14ac:dyDescent="0.25">
      <c r="A3114" t="s">
        <v>2052</v>
      </c>
      <c r="B3114" t="s">
        <v>475</v>
      </c>
      <c r="C3114">
        <v>295</v>
      </c>
      <c r="D3114">
        <v>114</v>
      </c>
      <c r="E3114">
        <v>534</v>
      </c>
      <c r="F3114">
        <v>500</v>
      </c>
      <c r="G3114">
        <v>60</v>
      </c>
      <c r="H3114">
        <v>0</v>
      </c>
      <c r="I3114" t="s">
        <v>22</v>
      </c>
      <c r="J3114" t="s">
        <v>22</v>
      </c>
    </row>
    <row r="3115" spans="1:10" x14ac:dyDescent="0.25">
      <c r="A3115" t="s">
        <v>2053</v>
      </c>
      <c r="B3115" t="s">
        <v>477</v>
      </c>
      <c r="C3115">
        <v>0</v>
      </c>
      <c r="D3115">
        <v>0</v>
      </c>
      <c r="E3115" s="2">
        <v>1418</v>
      </c>
      <c r="F3115" s="2">
        <v>2000</v>
      </c>
      <c r="G3115">
        <v>0</v>
      </c>
      <c r="H3115">
        <v>0</v>
      </c>
      <c r="I3115" t="s">
        <v>22</v>
      </c>
      <c r="J3115" t="s">
        <v>22</v>
      </c>
    </row>
    <row r="3116" spans="1:10" x14ac:dyDescent="0.25">
      <c r="C3116" t="s">
        <v>108</v>
      </c>
      <c r="D3116" t="s">
        <v>108</v>
      </c>
      <c r="E3116" t="s">
        <v>108</v>
      </c>
      <c r="F3116" t="s">
        <v>108</v>
      </c>
      <c r="G3116" t="s">
        <v>108</v>
      </c>
    </row>
    <row r="3117" spans="1:10" x14ac:dyDescent="0.25">
      <c r="H3117" t="s">
        <v>22</v>
      </c>
      <c r="I3117" t="s">
        <v>22</v>
      </c>
      <c r="J3117" t="s">
        <v>22</v>
      </c>
    </row>
    <row r="3118" spans="1:10" x14ac:dyDescent="0.25">
      <c r="A3118" t="s">
        <v>109</v>
      </c>
    </row>
    <row r="3119" spans="1:10" x14ac:dyDescent="0.25">
      <c r="B3119" t="s">
        <v>478</v>
      </c>
      <c r="C3119" s="2">
        <v>86632</v>
      </c>
      <c r="D3119" s="2">
        <v>222467</v>
      </c>
      <c r="E3119" s="2">
        <v>134039</v>
      </c>
      <c r="F3119" s="2">
        <v>144560</v>
      </c>
      <c r="G3119" s="2">
        <v>72168</v>
      </c>
      <c r="H3119">
        <v>0</v>
      </c>
    </row>
    <row r="3120" spans="1:10" x14ac:dyDescent="0.25">
      <c r="A3120" t="s">
        <v>110</v>
      </c>
    </row>
    <row r="3121" spans="1:10" x14ac:dyDescent="0.25">
      <c r="A3121" s="1">
        <v>43991</v>
      </c>
      <c r="B3121" t="s">
        <v>1615</v>
      </c>
      <c r="D3121" t="s">
        <v>112</v>
      </c>
      <c r="E3121" t="s">
        <v>113</v>
      </c>
      <c r="F3121" t="s">
        <v>114</v>
      </c>
      <c r="J3121" t="s">
        <v>307</v>
      </c>
    </row>
    <row r="3122" spans="1:10" x14ac:dyDescent="0.25">
      <c r="D3122" t="s">
        <v>116</v>
      </c>
      <c r="E3122" t="s">
        <v>117</v>
      </c>
      <c r="F3122" t="s">
        <v>118</v>
      </c>
    </row>
    <row r="3123" spans="1:10" x14ac:dyDescent="0.25">
      <c r="D3123" t="s">
        <v>119</v>
      </c>
      <c r="E3123" t="s">
        <v>120</v>
      </c>
      <c r="F3123" t="s">
        <v>121</v>
      </c>
    </row>
    <row r="3124" spans="1:10" x14ac:dyDescent="0.25">
      <c r="A3124" t="s">
        <v>1906</v>
      </c>
      <c r="B3124" t="s">
        <v>1907</v>
      </c>
    </row>
    <row r="3125" spans="1:10" x14ac:dyDescent="0.25">
      <c r="A3125" t="s">
        <v>386</v>
      </c>
    </row>
    <row r="3126" spans="1:10" x14ac:dyDescent="0.25">
      <c r="F3126" t="s">
        <v>2</v>
      </c>
      <c r="G3126" t="s">
        <v>3</v>
      </c>
      <c r="H3126" t="s">
        <v>4</v>
      </c>
      <c r="I3126" t="s">
        <v>5</v>
      </c>
      <c r="J3126" t="s">
        <v>6</v>
      </c>
    </row>
    <row r="3127" spans="1:10" x14ac:dyDescent="0.25">
      <c r="C3127" t="s">
        <v>7</v>
      </c>
      <c r="D3127" t="s">
        <v>8</v>
      </c>
      <c r="E3127" t="s">
        <v>9</v>
      </c>
      <c r="F3127" t="s">
        <v>10</v>
      </c>
      <c r="G3127" t="s">
        <v>124</v>
      </c>
      <c r="H3127" t="s">
        <v>12</v>
      </c>
      <c r="I3127" t="s">
        <v>13</v>
      </c>
      <c r="J3127" t="s">
        <v>14</v>
      </c>
    </row>
    <row r="3128" spans="1:10" x14ac:dyDescent="0.25">
      <c r="C3128" t="s">
        <v>15</v>
      </c>
      <c r="D3128" t="s">
        <v>15</v>
      </c>
      <c r="E3128" t="s">
        <v>15</v>
      </c>
      <c r="F3128" t="s">
        <v>16</v>
      </c>
      <c r="G3128" t="s">
        <v>15</v>
      </c>
      <c r="H3128" t="s">
        <v>17</v>
      </c>
      <c r="I3128" t="s">
        <v>16</v>
      </c>
      <c r="J3128" t="s">
        <v>16</v>
      </c>
    </row>
    <row r="3129" spans="1:10" x14ac:dyDescent="0.25">
      <c r="A3129" t="s">
        <v>18</v>
      </c>
      <c r="B3129" t="s">
        <v>19</v>
      </c>
      <c r="C3129" t="s">
        <v>20</v>
      </c>
      <c r="D3129" t="s">
        <v>21</v>
      </c>
      <c r="E3129" t="s">
        <v>22</v>
      </c>
      <c r="F3129" t="s">
        <v>23</v>
      </c>
      <c r="G3129" t="s">
        <v>24</v>
      </c>
      <c r="H3129" t="s">
        <v>20</v>
      </c>
      <c r="I3129" t="s">
        <v>24</v>
      </c>
      <c r="J3129" t="s">
        <v>20</v>
      </c>
    </row>
    <row r="3131" spans="1:10" x14ac:dyDescent="0.25">
      <c r="A3131" t="s">
        <v>489</v>
      </c>
    </row>
    <row r="3132" spans="1:10" x14ac:dyDescent="0.25">
      <c r="A3132" t="s">
        <v>18</v>
      </c>
    </row>
    <row r="3133" spans="1:10" x14ac:dyDescent="0.25">
      <c r="A3133" t="s">
        <v>2054</v>
      </c>
      <c r="B3133" t="s">
        <v>491</v>
      </c>
      <c r="C3133">
        <v>0</v>
      </c>
      <c r="D3133">
        <v>0</v>
      </c>
      <c r="E3133">
        <v>0</v>
      </c>
      <c r="F3133">
        <v>0</v>
      </c>
      <c r="G3133">
        <v>0</v>
      </c>
      <c r="H3133">
        <v>0</v>
      </c>
      <c r="I3133" t="s">
        <v>22</v>
      </c>
      <c r="J3133" t="s">
        <v>22</v>
      </c>
    </row>
    <row r="3134" spans="1:10" x14ac:dyDescent="0.25">
      <c r="A3134" t="s">
        <v>2055</v>
      </c>
      <c r="B3134" t="s">
        <v>493</v>
      </c>
      <c r="C3134" s="2">
        <v>28886</v>
      </c>
      <c r="D3134" s="2">
        <v>38335</v>
      </c>
      <c r="E3134" s="2">
        <v>35843</v>
      </c>
      <c r="F3134" s="2">
        <v>35000</v>
      </c>
      <c r="G3134" s="2">
        <v>25676</v>
      </c>
      <c r="H3134">
        <v>0</v>
      </c>
      <c r="I3134" t="s">
        <v>22</v>
      </c>
      <c r="J3134" t="s">
        <v>22</v>
      </c>
    </row>
    <row r="3135" spans="1:10" x14ac:dyDescent="0.25">
      <c r="A3135" t="s">
        <v>2056</v>
      </c>
      <c r="B3135" t="s">
        <v>489</v>
      </c>
      <c r="C3135" s="2">
        <v>4049</v>
      </c>
      <c r="D3135" s="2">
        <v>4532</v>
      </c>
      <c r="E3135" s="2">
        <v>3300</v>
      </c>
      <c r="F3135" s="2">
        <v>4000</v>
      </c>
      <c r="G3135" s="2">
        <v>1403</v>
      </c>
      <c r="H3135">
        <v>0</v>
      </c>
      <c r="I3135" t="s">
        <v>22</v>
      </c>
      <c r="J3135" t="s">
        <v>22</v>
      </c>
    </row>
    <row r="3136" spans="1:10" x14ac:dyDescent="0.25">
      <c r="A3136" t="s">
        <v>2057</v>
      </c>
      <c r="B3136" t="s">
        <v>496</v>
      </c>
      <c r="C3136">
        <v>0</v>
      </c>
      <c r="D3136">
        <v>0</v>
      </c>
      <c r="E3136">
        <v>0</v>
      </c>
      <c r="F3136">
        <v>0</v>
      </c>
      <c r="G3136">
        <v>0</v>
      </c>
      <c r="H3136">
        <v>0</v>
      </c>
      <c r="I3136" t="s">
        <v>22</v>
      </c>
      <c r="J3136" t="s">
        <v>22</v>
      </c>
    </row>
    <row r="3137" spans="1:10" x14ac:dyDescent="0.25">
      <c r="A3137" t="s">
        <v>2058</v>
      </c>
      <c r="B3137" t="s">
        <v>498</v>
      </c>
      <c r="C3137">
        <v>0</v>
      </c>
      <c r="D3137">
        <v>0</v>
      </c>
      <c r="E3137">
        <v>0</v>
      </c>
      <c r="F3137">
        <v>0</v>
      </c>
      <c r="G3137">
        <v>0</v>
      </c>
      <c r="H3137">
        <v>0</v>
      </c>
      <c r="I3137" t="s">
        <v>22</v>
      </c>
      <c r="J3137" t="s">
        <v>22</v>
      </c>
    </row>
    <row r="3138" spans="1:10" x14ac:dyDescent="0.25">
      <c r="A3138" t="s">
        <v>2059</v>
      </c>
      <c r="B3138" t="s">
        <v>500</v>
      </c>
      <c r="C3138">
        <v>0</v>
      </c>
      <c r="D3138">
        <v>0</v>
      </c>
      <c r="E3138">
        <v>0</v>
      </c>
      <c r="F3138">
        <v>0</v>
      </c>
      <c r="G3138">
        <v>0</v>
      </c>
      <c r="H3138">
        <v>0</v>
      </c>
      <c r="I3138" t="s">
        <v>22</v>
      </c>
      <c r="J3138" t="s">
        <v>22</v>
      </c>
    </row>
    <row r="3139" spans="1:10" x14ac:dyDescent="0.25">
      <c r="C3139" t="s">
        <v>108</v>
      </c>
      <c r="D3139" t="s">
        <v>108</v>
      </c>
      <c r="E3139" t="s">
        <v>108</v>
      </c>
      <c r="F3139" t="s">
        <v>108</v>
      </c>
      <c r="G3139" t="s">
        <v>108</v>
      </c>
    </row>
    <row r="3140" spans="1:10" x14ac:dyDescent="0.25">
      <c r="H3140" t="s">
        <v>22</v>
      </c>
      <c r="I3140" t="s">
        <v>22</v>
      </c>
      <c r="J3140" t="s">
        <v>22</v>
      </c>
    </row>
    <row r="3141" spans="1:10" x14ac:dyDescent="0.25">
      <c r="A3141" t="s">
        <v>109</v>
      </c>
    </row>
    <row r="3142" spans="1:10" x14ac:dyDescent="0.25">
      <c r="B3142" t="s">
        <v>489</v>
      </c>
      <c r="C3142" s="2">
        <v>32935</v>
      </c>
      <c r="D3142" s="2">
        <v>42867</v>
      </c>
      <c r="E3142" s="2">
        <v>39143</v>
      </c>
      <c r="F3142" s="2">
        <v>39000</v>
      </c>
      <c r="G3142" s="2">
        <v>27079</v>
      </c>
      <c r="H3142">
        <v>0</v>
      </c>
    </row>
    <row r="3144" spans="1:10" x14ac:dyDescent="0.25">
      <c r="A3144" t="s">
        <v>501</v>
      </c>
    </row>
    <row r="3145" spans="1:10" x14ac:dyDescent="0.25">
      <c r="A3145" t="s">
        <v>18</v>
      </c>
    </row>
    <row r="3146" spans="1:10" x14ac:dyDescent="0.25">
      <c r="A3146" t="s">
        <v>2060</v>
      </c>
      <c r="B3146" t="s">
        <v>503</v>
      </c>
      <c r="C3146" s="2">
        <v>1878</v>
      </c>
      <c r="D3146">
        <v>0</v>
      </c>
      <c r="E3146">
        <v>0</v>
      </c>
      <c r="F3146" s="2">
        <v>30000</v>
      </c>
      <c r="G3146">
        <v>45</v>
      </c>
      <c r="H3146">
        <v>0</v>
      </c>
      <c r="I3146" t="s">
        <v>22</v>
      </c>
      <c r="J3146" t="s">
        <v>22</v>
      </c>
    </row>
    <row r="3147" spans="1:10" x14ac:dyDescent="0.25">
      <c r="A3147" t="s">
        <v>2061</v>
      </c>
      <c r="B3147" t="s">
        <v>2062</v>
      </c>
      <c r="C3147" s="2">
        <v>14475</v>
      </c>
      <c r="D3147" s="2">
        <v>11250</v>
      </c>
      <c r="E3147" s="2">
        <v>12750</v>
      </c>
      <c r="F3147" s="2">
        <v>20000</v>
      </c>
      <c r="G3147" s="2">
        <v>7250</v>
      </c>
      <c r="H3147">
        <v>0</v>
      </c>
      <c r="I3147" t="s">
        <v>22</v>
      </c>
      <c r="J3147" t="s">
        <v>22</v>
      </c>
    </row>
    <row r="3148" spans="1:10" x14ac:dyDescent="0.25">
      <c r="A3148" t="s">
        <v>2063</v>
      </c>
      <c r="B3148" t="s">
        <v>507</v>
      </c>
      <c r="C3148">
        <v>0</v>
      </c>
      <c r="D3148">
        <v>0</v>
      </c>
      <c r="E3148">
        <v>0</v>
      </c>
      <c r="F3148">
        <v>0</v>
      </c>
      <c r="G3148">
        <v>0</v>
      </c>
      <c r="H3148">
        <v>0</v>
      </c>
      <c r="I3148" t="s">
        <v>22</v>
      </c>
      <c r="J3148" t="s">
        <v>22</v>
      </c>
    </row>
    <row r="3149" spans="1:10" x14ac:dyDescent="0.25">
      <c r="A3149" t="s">
        <v>2064</v>
      </c>
      <c r="B3149" t="s">
        <v>509</v>
      </c>
      <c r="C3149">
        <v>0</v>
      </c>
      <c r="D3149">
        <v>0</v>
      </c>
      <c r="E3149">
        <v>0</v>
      </c>
      <c r="F3149">
        <v>0</v>
      </c>
      <c r="G3149">
        <v>0</v>
      </c>
      <c r="H3149">
        <v>0</v>
      </c>
      <c r="I3149" t="s">
        <v>22</v>
      </c>
      <c r="J3149" t="s">
        <v>22</v>
      </c>
    </row>
    <row r="3150" spans="1:10" x14ac:dyDescent="0.25">
      <c r="A3150" t="s">
        <v>2065</v>
      </c>
      <c r="B3150" t="s">
        <v>517</v>
      </c>
      <c r="C3150" s="2">
        <v>28043</v>
      </c>
      <c r="D3150" s="2">
        <v>29947</v>
      </c>
      <c r="E3150" s="2">
        <v>28958</v>
      </c>
      <c r="F3150" s="2">
        <v>38000</v>
      </c>
      <c r="G3150" s="2">
        <v>17538</v>
      </c>
      <c r="H3150">
        <v>0</v>
      </c>
      <c r="I3150" t="s">
        <v>22</v>
      </c>
      <c r="J3150" t="s">
        <v>22</v>
      </c>
    </row>
    <row r="3151" spans="1:10" x14ac:dyDescent="0.25">
      <c r="A3151" t="s">
        <v>2066</v>
      </c>
      <c r="B3151" t="s">
        <v>519</v>
      </c>
      <c r="C3151">
        <v>0</v>
      </c>
      <c r="D3151">
        <v>0</v>
      </c>
      <c r="E3151">
        <v>0</v>
      </c>
      <c r="F3151">
        <v>0</v>
      </c>
      <c r="G3151">
        <v>0</v>
      </c>
      <c r="H3151">
        <v>0</v>
      </c>
      <c r="I3151" t="s">
        <v>22</v>
      </c>
      <c r="J3151" t="s">
        <v>22</v>
      </c>
    </row>
    <row r="3152" spans="1:10" x14ac:dyDescent="0.25">
      <c r="A3152" t="s">
        <v>2067</v>
      </c>
      <c r="B3152" t="s">
        <v>521</v>
      </c>
      <c r="C3152">
        <v>0</v>
      </c>
      <c r="D3152">
        <v>0</v>
      </c>
      <c r="E3152">
        <v>0</v>
      </c>
      <c r="F3152">
        <v>0</v>
      </c>
      <c r="G3152">
        <v>0</v>
      </c>
      <c r="H3152">
        <v>0</v>
      </c>
      <c r="I3152" t="s">
        <v>22</v>
      </c>
      <c r="J3152" t="s">
        <v>22</v>
      </c>
    </row>
    <row r="3153" spans="1:10" x14ac:dyDescent="0.25">
      <c r="A3153" t="s">
        <v>2068</v>
      </c>
      <c r="B3153" t="s">
        <v>2069</v>
      </c>
      <c r="C3153">
        <v>0</v>
      </c>
      <c r="D3153">
        <v>0</v>
      </c>
      <c r="E3153">
        <v>0</v>
      </c>
      <c r="F3153">
        <v>0</v>
      </c>
      <c r="G3153">
        <v>0</v>
      </c>
      <c r="H3153">
        <v>0</v>
      </c>
      <c r="I3153" t="s">
        <v>22</v>
      </c>
      <c r="J3153" t="s">
        <v>22</v>
      </c>
    </row>
    <row r="3154" spans="1:10" x14ac:dyDescent="0.25">
      <c r="A3154" t="s">
        <v>2070</v>
      </c>
      <c r="B3154" t="s">
        <v>2071</v>
      </c>
      <c r="C3154">
        <v>0</v>
      </c>
      <c r="D3154">
        <v>0</v>
      </c>
      <c r="E3154">
        <v>0</v>
      </c>
      <c r="F3154">
        <v>0</v>
      </c>
      <c r="G3154">
        <v>0</v>
      </c>
      <c r="H3154">
        <v>0</v>
      </c>
      <c r="I3154" t="s">
        <v>22</v>
      </c>
      <c r="J3154" t="s">
        <v>22</v>
      </c>
    </row>
    <row r="3155" spans="1:10" x14ac:dyDescent="0.25">
      <c r="C3155" t="s">
        <v>108</v>
      </c>
      <c r="D3155" t="s">
        <v>108</v>
      </c>
      <c r="E3155" t="s">
        <v>108</v>
      </c>
      <c r="F3155" t="s">
        <v>108</v>
      </c>
      <c r="G3155" t="s">
        <v>108</v>
      </c>
    </row>
    <row r="3156" spans="1:10" x14ac:dyDescent="0.25">
      <c r="H3156" t="s">
        <v>22</v>
      </c>
      <c r="I3156" t="s">
        <v>22</v>
      </c>
      <c r="J3156" t="s">
        <v>22</v>
      </c>
    </row>
    <row r="3157" spans="1:10" x14ac:dyDescent="0.25">
      <c r="A3157" t="s">
        <v>109</v>
      </c>
    </row>
    <row r="3158" spans="1:10" x14ac:dyDescent="0.25">
      <c r="B3158" t="s">
        <v>501</v>
      </c>
      <c r="C3158" s="2">
        <v>44396</v>
      </c>
      <c r="D3158" s="2">
        <v>41197</v>
      </c>
      <c r="E3158" s="2">
        <v>41708</v>
      </c>
      <c r="F3158" s="2">
        <v>88000</v>
      </c>
      <c r="G3158" s="2">
        <v>24833</v>
      </c>
      <c r="H3158">
        <v>0</v>
      </c>
    </row>
    <row r="3160" spans="1:10" x14ac:dyDescent="0.25">
      <c r="A3160" t="s">
        <v>524</v>
      </c>
      <c r="B3160" t="s">
        <v>525</v>
      </c>
    </row>
    <row r="3161" spans="1:10" x14ac:dyDescent="0.25">
      <c r="A3161" t="s">
        <v>18</v>
      </c>
      <c r="B3161" t="s">
        <v>526</v>
      </c>
    </row>
    <row r="3162" spans="1:10" x14ac:dyDescent="0.25">
      <c r="A3162" t="s">
        <v>2072</v>
      </c>
      <c r="B3162" t="s">
        <v>521</v>
      </c>
      <c r="C3162">
        <v>0</v>
      </c>
      <c r="D3162">
        <v>0</v>
      </c>
      <c r="E3162">
        <v>0</v>
      </c>
      <c r="F3162">
        <v>0</v>
      </c>
      <c r="G3162">
        <v>0</v>
      </c>
      <c r="H3162">
        <v>0</v>
      </c>
      <c r="I3162" t="s">
        <v>22</v>
      </c>
      <c r="J3162" t="s">
        <v>22</v>
      </c>
    </row>
    <row r="3163" spans="1:10" x14ac:dyDescent="0.25">
      <c r="A3163" t="s">
        <v>2073</v>
      </c>
      <c r="B3163" t="s">
        <v>534</v>
      </c>
      <c r="C3163">
        <v>0</v>
      </c>
      <c r="D3163">
        <v>0</v>
      </c>
      <c r="E3163">
        <v>0</v>
      </c>
      <c r="F3163">
        <v>0</v>
      </c>
      <c r="G3163">
        <v>0</v>
      </c>
      <c r="H3163">
        <v>0</v>
      </c>
      <c r="I3163" t="s">
        <v>22</v>
      </c>
      <c r="J3163" t="s">
        <v>22</v>
      </c>
    </row>
    <row r="3164" spans="1:10" x14ac:dyDescent="0.25">
      <c r="A3164" t="s">
        <v>2074</v>
      </c>
      <c r="B3164" t="s">
        <v>1190</v>
      </c>
      <c r="C3164">
        <v>0</v>
      </c>
      <c r="D3164">
        <v>0</v>
      </c>
      <c r="E3164">
        <v>0</v>
      </c>
      <c r="F3164">
        <v>0</v>
      </c>
      <c r="G3164">
        <v>0</v>
      </c>
      <c r="H3164">
        <v>0</v>
      </c>
      <c r="I3164" t="s">
        <v>22</v>
      </c>
      <c r="J3164" t="s">
        <v>22</v>
      </c>
    </row>
    <row r="3165" spans="1:10" x14ac:dyDescent="0.25">
      <c r="A3165" t="s">
        <v>2075</v>
      </c>
      <c r="B3165" t="s">
        <v>1894</v>
      </c>
      <c r="C3165">
        <v>0</v>
      </c>
      <c r="D3165">
        <v>0</v>
      </c>
      <c r="E3165">
        <v>0</v>
      </c>
      <c r="F3165">
        <v>0</v>
      </c>
      <c r="G3165">
        <v>0</v>
      </c>
      <c r="H3165">
        <v>0</v>
      </c>
      <c r="I3165" t="s">
        <v>22</v>
      </c>
      <c r="J3165" t="s">
        <v>22</v>
      </c>
    </row>
    <row r="3166" spans="1:10" x14ac:dyDescent="0.25">
      <c r="C3166" t="s">
        <v>108</v>
      </c>
      <c r="D3166" t="s">
        <v>108</v>
      </c>
      <c r="E3166" t="s">
        <v>108</v>
      </c>
      <c r="F3166" t="s">
        <v>108</v>
      </c>
      <c r="G3166" t="s">
        <v>108</v>
      </c>
    </row>
    <row r="3167" spans="1:10" x14ac:dyDescent="0.25">
      <c r="H3167" t="s">
        <v>22</v>
      </c>
      <c r="I3167" t="s">
        <v>22</v>
      </c>
      <c r="J3167" t="s">
        <v>22</v>
      </c>
    </row>
    <row r="3168" spans="1:10" x14ac:dyDescent="0.25">
      <c r="A3168" t="s">
        <v>109</v>
      </c>
    </row>
    <row r="3169" spans="1:10" x14ac:dyDescent="0.25">
      <c r="B3169" t="s">
        <v>530</v>
      </c>
      <c r="C3169">
        <v>0</v>
      </c>
      <c r="D3169">
        <v>0</v>
      </c>
      <c r="E3169">
        <v>0</v>
      </c>
      <c r="F3169">
        <v>0</v>
      </c>
      <c r="G3169">
        <v>0</v>
      </c>
      <c r="H3169">
        <v>0</v>
      </c>
    </row>
    <row r="3170" spans="1:10" x14ac:dyDescent="0.25">
      <c r="A3170" t="s">
        <v>18</v>
      </c>
      <c r="B3170" t="s">
        <v>19</v>
      </c>
      <c r="C3170" t="s">
        <v>20</v>
      </c>
      <c r="D3170" t="s">
        <v>21</v>
      </c>
      <c r="E3170" t="s">
        <v>26</v>
      </c>
    </row>
    <row r="3171" spans="1:10" x14ac:dyDescent="0.25">
      <c r="E3171" t="s">
        <v>339</v>
      </c>
      <c r="F3171" t="s">
        <v>23</v>
      </c>
      <c r="G3171" t="s">
        <v>24</v>
      </c>
      <c r="H3171" t="s">
        <v>20</v>
      </c>
      <c r="I3171" t="s">
        <v>24</v>
      </c>
      <c r="J3171" t="s">
        <v>20</v>
      </c>
    </row>
    <row r="3172" spans="1:10" x14ac:dyDescent="0.25">
      <c r="A3172" t="s">
        <v>109</v>
      </c>
    </row>
    <row r="3173" spans="1:10" x14ac:dyDescent="0.25">
      <c r="A3173">
        <v>55</v>
      </c>
      <c r="B3173" t="e">
        <f>-UTILITIES ADMINISTRATI</f>
        <v>#NAME?</v>
      </c>
      <c r="C3173" s="2">
        <v>227773</v>
      </c>
      <c r="D3173" s="2">
        <v>510378</v>
      </c>
      <c r="E3173" s="2">
        <v>384445</v>
      </c>
      <c r="F3173" s="2">
        <v>467389</v>
      </c>
      <c r="G3173" s="2">
        <v>253732</v>
      </c>
      <c r="H3173">
        <v>0</v>
      </c>
    </row>
    <row r="3175" spans="1:10" x14ac:dyDescent="0.25">
      <c r="A3175" t="s">
        <v>2076</v>
      </c>
      <c r="B3175" t="s">
        <v>2077</v>
      </c>
    </row>
    <row r="3176" spans="1:10" x14ac:dyDescent="0.25">
      <c r="A3176" t="s">
        <v>389</v>
      </c>
      <c r="B3176" t="s">
        <v>2078</v>
      </c>
    </row>
    <row r="3178" spans="1:10" x14ac:dyDescent="0.25">
      <c r="A3178" t="s">
        <v>524</v>
      </c>
      <c r="B3178" t="s">
        <v>525</v>
      </c>
    </row>
    <row r="3179" spans="1:10" x14ac:dyDescent="0.25">
      <c r="A3179" t="s">
        <v>18</v>
      </c>
      <c r="B3179" t="s">
        <v>526</v>
      </c>
    </row>
    <row r="3180" spans="1:10" x14ac:dyDescent="0.25">
      <c r="A3180" t="s">
        <v>2079</v>
      </c>
      <c r="B3180" t="s">
        <v>2080</v>
      </c>
      <c r="C3180">
        <v>0</v>
      </c>
      <c r="D3180">
        <v>0</v>
      </c>
      <c r="E3180">
        <v>0</v>
      </c>
      <c r="F3180">
        <v>0</v>
      </c>
      <c r="G3180">
        <v>0</v>
      </c>
      <c r="H3180">
        <v>0</v>
      </c>
      <c r="I3180" t="s">
        <v>22</v>
      </c>
      <c r="J3180" t="s">
        <v>22</v>
      </c>
    </row>
    <row r="3181" spans="1:10" x14ac:dyDescent="0.25">
      <c r="A3181" t="s">
        <v>2081</v>
      </c>
      <c r="B3181" t="s">
        <v>1634</v>
      </c>
      <c r="C3181" s="2">
        <v>1600000</v>
      </c>
      <c r="D3181" s="2">
        <v>2059643</v>
      </c>
      <c r="E3181" s="2">
        <v>2059643</v>
      </c>
      <c r="F3181" s="2">
        <v>3643573</v>
      </c>
      <c r="G3181" s="2">
        <v>1201458</v>
      </c>
      <c r="H3181">
        <v>0</v>
      </c>
      <c r="I3181" t="s">
        <v>22</v>
      </c>
      <c r="J3181" t="s">
        <v>22</v>
      </c>
    </row>
    <row r="3182" spans="1:10" x14ac:dyDescent="0.25">
      <c r="A3182" t="s">
        <v>2082</v>
      </c>
      <c r="B3182" t="s">
        <v>2083</v>
      </c>
      <c r="C3182">
        <v>0</v>
      </c>
      <c r="D3182">
        <v>0</v>
      </c>
      <c r="E3182">
        <v>0</v>
      </c>
      <c r="F3182">
        <v>0</v>
      </c>
      <c r="G3182">
        <v>0</v>
      </c>
      <c r="H3182">
        <v>0</v>
      </c>
      <c r="I3182" t="s">
        <v>22</v>
      </c>
      <c r="J3182" t="s">
        <v>22</v>
      </c>
    </row>
    <row r="3183" spans="1:10" x14ac:dyDescent="0.25">
      <c r="C3183" t="s">
        <v>108</v>
      </c>
      <c r="D3183" t="s">
        <v>108</v>
      </c>
      <c r="E3183" t="s">
        <v>108</v>
      </c>
      <c r="F3183" t="s">
        <v>108</v>
      </c>
      <c r="G3183" t="s">
        <v>108</v>
      </c>
    </row>
    <row r="3184" spans="1:10" x14ac:dyDescent="0.25">
      <c r="H3184" t="s">
        <v>22</v>
      </c>
      <c r="I3184" t="s">
        <v>22</v>
      </c>
      <c r="J3184" t="s">
        <v>22</v>
      </c>
    </row>
    <row r="3185" spans="1:10" x14ac:dyDescent="0.25">
      <c r="A3185" t="s">
        <v>109</v>
      </c>
    </row>
    <row r="3186" spans="1:10" x14ac:dyDescent="0.25">
      <c r="B3186" t="s">
        <v>530</v>
      </c>
      <c r="C3186" s="2">
        <v>1600000</v>
      </c>
      <c r="D3186" s="2">
        <v>2059643</v>
      </c>
      <c r="E3186" s="2">
        <v>2059643</v>
      </c>
      <c r="F3186" s="2">
        <v>3643573</v>
      </c>
      <c r="G3186" s="2">
        <v>1201458</v>
      </c>
      <c r="H3186">
        <v>0</v>
      </c>
    </row>
    <row r="3187" spans="1:10" x14ac:dyDescent="0.25">
      <c r="A3187" t="s">
        <v>18</v>
      </c>
      <c r="B3187" t="s">
        <v>19</v>
      </c>
      <c r="C3187" t="s">
        <v>20</v>
      </c>
      <c r="D3187" t="s">
        <v>21</v>
      </c>
      <c r="E3187" t="s">
        <v>26</v>
      </c>
    </row>
    <row r="3188" spans="1:10" x14ac:dyDescent="0.25">
      <c r="E3188" t="s">
        <v>339</v>
      </c>
      <c r="F3188" t="s">
        <v>23</v>
      </c>
      <c r="G3188" t="s">
        <v>24</v>
      </c>
      <c r="H3188" t="s">
        <v>20</v>
      </c>
      <c r="I3188" t="s">
        <v>24</v>
      </c>
      <c r="J3188" t="s">
        <v>20</v>
      </c>
    </row>
    <row r="3189" spans="1:10" x14ac:dyDescent="0.25">
      <c r="A3189" t="s">
        <v>109</v>
      </c>
    </row>
    <row r="3190" spans="1:10" x14ac:dyDescent="0.25">
      <c r="A3190">
        <v>56</v>
      </c>
      <c r="B3190" t="e">
        <f>-GENERAL FUND TRANSFER</f>
        <v>#NAME?</v>
      </c>
      <c r="C3190" s="2">
        <v>1600000</v>
      </c>
      <c r="D3190" s="2">
        <v>2059643</v>
      </c>
      <c r="E3190" s="2">
        <v>2059643</v>
      </c>
      <c r="F3190" s="2">
        <v>3643573</v>
      </c>
      <c r="G3190" s="2">
        <v>1201458</v>
      </c>
      <c r="H3190">
        <v>0</v>
      </c>
    </row>
    <row r="3192" spans="1:10" x14ac:dyDescent="0.25">
      <c r="A3192" t="s">
        <v>2084</v>
      </c>
      <c r="B3192" t="s">
        <v>2085</v>
      </c>
    </row>
    <row r="3193" spans="1:10" x14ac:dyDescent="0.25">
      <c r="A3193" t="s">
        <v>389</v>
      </c>
      <c r="B3193" t="s">
        <v>2078</v>
      </c>
    </row>
    <row r="3194" spans="1:10" x14ac:dyDescent="0.25">
      <c r="A3194" t="s">
        <v>110</v>
      </c>
    </row>
    <row r="3195" spans="1:10" x14ac:dyDescent="0.25">
      <c r="A3195" s="1">
        <v>43991</v>
      </c>
      <c r="B3195" t="s">
        <v>1615</v>
      </c>
      <c r="D3195" t="s">
        <v>112</v>
      </c>
      <c r="E3195" t="s">
        <v>113</v>
      </c>
      <c r="F3195" t="s">
        <v>114</v>
      </c>
      <c r="J3195" t="s">
        <v>385</v>
      </c>
    </row>
    <row r="3196" spans="1:10" x14ac:dyDescent="0.25">
      <c r="D3196" t="s">
        <v>116</v>
      </c>
      <c r="E3196" t="s">
        <v>117</v>
      </c>
      <c r="F3196" t="s">
        <v>118</v>
      </c>
    </row>
    <row r="3197" spans="1:10" x14ac:dyDescent="0.25">
      <c r="D3197" t="s">
        <v>119</v>
      </c>
      <c r="E3197" t="s">
        <v>120</v>
      </c>
      <c r="F3197" t="s">
        <v>121</v>
      </c>
    </row>
    <row r="3198" spans="1:10" x14ac:dyDescent="0.25">
      <c r="A3198" t="s">
        <v>1906</v>
      </c>
      <c r="B3198" t="s">
        <v>1907</v>
      </c>
    </row>
    <row r="3199" spans="1:10" x14ac:dyDescent="0.25">
      <c r="A3199" t="s">
        <v>386</v>
      </c>
    </row>
    <row r="3200" spans="1:10" x14ac:dyDescent="0.25">
      <c r="F3200" t="s">
        <v>2</v>
      </c>
      <c r="G3200" t="s">
        <v>3</v>
      </c>
      <c r="H3200" t="s">
        <v>4</v>
      </c>
      <c r="I3200" t="s">
        <v>5</v>
      </c>
      <c r="J3200" t="s">
        <v>6</v>
      </c>
    </row>
    <row r="3201" spans="1:10" x14ac:dyDescent="0.25">
      <c r="C3201" t="s">
        <v>7</v>
      </c>
      <c r="D3201" t="s">
        <v>8</v>
      </c>
      <c r="E3201" t="s">
        <v>9</v>
      </c>
      <c r="F3201" t="s">
        <v>10</v>
      </c>
      <c r="G3201" t="s">
        <v>124</v>
      </c>
      <c r="H3201" t="s">
        <v>12</v>
      </c>
      <c r="I3201" t="s">
        <v>13</v>
      </c>
      <c r="J3201" t="s">
        <v>14</v>
      </c>
    </row>
    <row r="3202" spans="1:10" x14ac:dyDescent="0.25">
      <c r="C3202" t="s">
        <v>15</v>
      </c>
      <c r="D3202" t="s">
        <v>15</v>
      </c>
      <c r="E3202" t="s">
        <v>15</v>
      </c>
      <c r="F3202" t="s">
        <v>16</v>
      </c>
      <c r="G3202" t="s">
        <v>15</v>
      </c>
      <c r="H3202" t="s">
        <v>17</v>
      </c>
      <c r="I3202" t="s">
        <v>16</v>
      </c>
      <c r="J3202" t="s">
        <v>16</v>
      </c>
    </row>
    <row r="3203" spans="1:10" x14ac:dyDescent="0.25">
      <c r="A3203" t="s">
        <v>18</v>
      </c>
      <c r="B3203" t="s">
        <v>19</v>
      </c>
      <c r="C3203" t="s">
        <v>20</v>
      </c>
      <c r="D3203" t="s">
        <v>21</v>
      </c>
      <c r="E3203" t="s">
        <v>22</v>
      </c>
      <c r="F3203" t="s">
        <v>23</v>
      </c>
      <c r="G3203" t="s">
        <v>24</v>
      </c>
      <c r="H3203" t="s">
        <v>20</v>
      </c>
      <c r="I3203" t="s">
        <v>24</v>
      </c>
      <c r="J3203" t="s">
        <v>20</v>
      </c>
    </row>
    <row r="3205" spans="1:10" x14ac:dyDescent="0.25">
      <c r="A3205" t="s">
        <v>524</v>
      </c>
      <c r="B3205" t="s">
        <v>525</v>
      </c>
    </row>
    <row r="3206" spans="1:10" x14ac:dyDescent="0.25">
      <c r="A3206" t="s">
        <v>18</v>
      </c>
      <c r="B3206" t="s">
        <v>526</v>
      </c>
    </row>
    <row r="3207" spans="1:10" x14ac:dyDescent="0.25">
      <c r="A3207" t="s">
        <v>2086</v>
      </c>
      <c r="B3207" t="s">
        <v>1894</v>
      </c>
      <c r="C3207">
        <v>0</v>
      </c>
      <c r="D3207">
        <v>0</v>
      </c>
      <c r="E3207">
        <v>0</v>
      </c>
      <c r="F3207">
        <v>0</v>
      </c>
      <c r="G3207">
        <v>0</v>
      </c>
      <c r="H3207">
        <v>0</v>
      </c>
      <c r="I3207" t="s">
        <v>22</v>
      </c>
      <c r="J3207" t="s">
        <v>22</v>
      </c>
    </row>
    <row r="3208" spans="1:10" x14ac:dyDescent="0.25">
      <c r="C3208" t="s">
        <v>108</v>
      </c>
      <c r="D3208" t="s">
        <v>108</v>
      </c>
      <c r="E3208" t="s">
        <v>108</v>
      </c>
      <c r="F3208" t="s">
        <v>108</v>
      </c>
      <c r="G3208" t="s">
        <v>108</v>
      </c>
    </row>
    <row r="3209" spans="1:10" x14ac:dyDescent="0.25">
      <c r="H3209" t="s">
        <v>22</v>
      </c>
      <c r="I3209" t="s">
        <v>22</v>
      </c>
      <c r="J3209" t="s">
        <v>22</v>
      </c>
    </row>
    <row r="3210" spans="1:10" x14ac:dyDescent="0.25">
      <c r="A3210" t="s">
        <v>109</v>
      </c>
    </row>
    <row r="3211" spans="1:10" x14ac:dyDescent="0.25">
      <c r="B3211" t="s">
        <v>530</v>
      </c>
      <c r="C3211">
        <v>0</v>
      </c>
      <c r="D3211">
        <v>0</v>
      </c>
      <c r="E3211">
        <v>0</v>
      </c>
      <c r="F3211">
        <v>0</v>
      </c>
      <c r="G3211">
        <v>0</v>
      </c>
      <c r="H3211">
        <v>0</v>
      </c>
    </row>
    <row r="3212" spans="1:10" x14ac:dyDescent="0.25">
      <c r="A3212" t="s">
        <v>18</v>
      </c>
      <c r="B3212" t="s">
        <v>19</v>
      </c>
      <c r="C3212" t="s">
        <v>20</v>
      </c>
      <c r="D3212" t="s">
        <v>21</v>
      </c>
      <c r="E3212" t="s">
        <v>26</v>
      </c>
    </row>
    <row r="3213" spans="1:10" x14ac:dyDescent="0.25">
      <c r="E3213" t="s">
        <v>339</v>
      </c>
      <c r="F3213" t="s">
        <v>23</v>
      </c>
      <c r="G3213" t="s">
        <v>24</v>
      </c>
      <c r="H3213" t="s">
        <v>20</v>
      </c>
      <c r="I3213" t="s">
        <v>24</v>
      </c>
      <c r="J3213" t="s">
        <v>20</v>
      </c>
    </row>
    <row r="3214" spans="1:10" x14ac:dyDescent="0.25">
      <c r="A3214" t="s">
        <v>109</v>
      </c>
    </row>
    <row r="3215" spans="1:10" x14ac:dyDescent="0.25">
      <c r="A3215">
        <v>57</v>
      </c>
      <c r="B3215" t="e">
        <f>-DEBT SRVCE FUND TRNSF</f>
        <v>#NAME?</v>
      </c>
      <c r="C3215">
        <v>0</v>
      </c>
      <c r="D3215">
        <v>0</v>
      </c>
      <c r="E3215">
        <v>0</v>
      </c>
      <c r="F3215">
        <v>0</v>
      </c>
      <c r="G3215">
        <v>0</v>
      </c>
      <c r="H3215">
        <v>0</v>
      </c>
    </row>
    <row r="3217" spans="1:10" x14ac:dyDescent="0.25">
      <c r="A3217" t="s">
        <v>2087</v>
      </c>
      <c r="B3217" t="s">
        <v>2088</v>
      </c>
    </row>
    <row r="3218" spans="1:10" x14ac:dyDescent="0.25">
      <c r="A3218" t="s">
        <v>389</v>
      </c>
      <c r="B3218" t="s">
        <v>1541</v>
      </c>
    </row>
    <row r="3220" spans="1:10" x14ac:dyDescent="0.25">
      <c r="A3220" t="s">
        <v>391</v>
      </c>
      <c r="B3220" t="s">
        <v>392</v>
      </c>
    </row>
    <row r="3221" spans="1:10" x14ac:dyDescent="0.25">
      <c r="A3221" t="s">
        <v>18</v>
      </c>
      <c r="B3221" t="s">
        <v>228</v>
      </c>
    </row>
    <row r="3222" spans="1:10" x14ac:dyDescent="0.25">
      <c r="A3222" t="s">
        <v>1542</v>
      </c>
      <c r="B3222" t="s">
        <v>569</v>
      </c>
      <c r="C3222" s="2">
        <v>9353</v>
      </c>
      <c r="D3222" s="2">
        <v>-8306</v>
      </c>
      <c r="E3222">
        <v>0</v>
      </c>
      <c r="F3222">
        <v>0</v>
      </c>
      <c r="G3222">
        <v>0</v>
      </c>
      <c r="H3222">
        <v>0</v>
      </c>
      <c r="I3222" t="s">
        <v>22</v>
      </c>
      <c r="J3222" t="s">
        <v>22</v>
      </c>
    </row>
    <row r="3223" spans="1:10" x14ac:dyDescent="0.25">
      <c r="A3223" t="s">
        <v>1543</v>
      </c>
      <c r="B3223" t="s">
        <v>396</v>
      </c>
      <c r="C3223">
        <v>27</v>
      </c>
      <c r="D3223">
        <v>0</v>
      </c>
      <c r="E3223">
        <v>0</v>
      </c>
      <c r="F3223">
        <v>0</v>
      </c>
      <c r="G3223">
        <v>0</v>
      </c>
      <c r="H3223">
        <v>0</v>
      </c>
      <c r="I3223" t="s">
        <v>22</v>
      </c>
      <c r="J3223" t="s">
        <v>22</v>
      </c>
    </row>
    <row r="3224" spans="1:10" x14ac:dyDescent="0.25">
      <c r="A3224" t="s">
        <v>1544</v>
      </c>
      <c r="B3224" t="s">
        <v>927</v>
      </c>
      <c r="C3224" s="2">
        <v>14466</v>
      </c>
      <c r="D3224">
        <v>555</v>
      </c>
      <c r="E3224">
        <v>0</v>
      </c>
      <c r="F3224">
        <v>0</v>
      </c>
      <c r="G3224">
        <v>0</v>
      </c>
      <c r="H3224">
        <v>0</v>
      </c>
      <c r="I3224" t="s">
        <v>22</v>
      </c>
      <c r="J3224" t="s">
        <v>22</v>
      </c>
    </row>
    <row r="3225" spans="1:10" x14ac:dyDescent="0.25">
      <c r="A3225" t="s">
        <v>1545</v>
      </c>
      <c r="B3225" t="s">
        <v>400</v>
      </c>
      <c r="C3225" s="2">
        <v>15544</v>
      </c>
      <c r="D3225">
        <v>593</v>
      </c>
      <c r="E3225">
        <v>0</v>
      </c>
      <c r="F3225">
        <v>0</v>
      </c>
      <c r="G3225">
        <v>0</v>
      </c>
      <c r="H3225">
        <v>0</v>
      </c>
      <c r="I3225" t="s">
        <v>22</v>
      </c>
      <c r="J3225" t="s">
        <v>22</v>
      </c>
    </row>
    <row r="3226" spans="1:10" x14ac:dyDescent="0.25">
      <c r="A3226" t="s">
        <v>1546</v>
      </c>
      <c r="B3226" t="s">
        <v>402</v>
      </c>
      <c r="C3226" s="2">
        <v>37029</v>
      </c>
      <c r="D3226" s="2">
        <v>5807</v>
      </c>
      <c r="E3226">
        <v>0</v>
      </c>
      <c r="F3226">
        <v>0</v>
      </c>
      <c r="G3226">
        <v>0</v>
      </c>
      <c r="H3226">
        <v>0</v>
      </c>
      <c r="I3226" t="s">
        <v>22</v>
      </c>
      <c r="J3226" t="s">
        <v>22</v>
      </c>
    </row>
    <row r="3227" spans="1:10" x14ac:dyDescent="0.25">
      <c r="A3227" t="s">
        <v>1547</v>
      </c>
      <c r="B3227" t="s">
        <v>404</v>
      </c>
      <c r="C3227" s="2">
        <v>1992</v>
      </c>
      <c r="D3227">
        <v>15</v>
      </c>
      <c r="E3227">
        <v>0</v>
      </c>
      <c r="F3227">
        <v>0</v>
      </c>
      <c r="G3227">
        <v>0</v>
      </c>
      <c r="H3227">
        <v>0</v>
      </c>
      <c r="I3227" t="s">
        <v>22</v>
      </c>
      <c r="J3227" t="s">
        <v>22</v>
      </c>
    </row>
    <row r="3228" spans="1:10" x14ac:dyDescent="0.25">
      <c r="A3228" t="s">
        <v>1548</v>
      </c>
      <c r="B3228" t="s">
        <v>406</v>
      </c>
      <c r="C3228">
        <v>264</v>
      </c>
      <c r="D3228">
        <v>0</v>
      </c>
      <c r="E3228">
        <v>0</v>
      </c>
      <c r="F3228">
        <v>0</v>
      </c>
      <c r="G3228">
        <v>0</v>
      </c>
      <c r="H3228">
        <v>0</v>
      </c>
      <c r="I3228" t="s">
        <v>22</v>
      </c>
      <c r="J3228" t="s">
        <v>22</v>
      </c>
    </row>
    <row r="3229" spans="1:10" x14ac:dyDescent="0.25">
      <c r="A3229" t="s">
        <v>1549</v>
      </c>
      <c r="B3229" t="s">
        <v>1550</v>
      </c>
      <c r="C3229" s="2">
        <v>78955</v>
      </c>
      <c r="D3229" s="2">
        <v>3040</v>
      </c>
      <c r="E3229">
        <v>0</v>
      </c>
      <c r="F3229">
        <v>0</v>
      </c>
      <c r="G3229">
        <v>0</v>
      </c>
      <c r="H3229">
        <v>0</v>
      </c>
      <c r="I3229" t="s">
        <v>22</v>
      </c>
      <c r="J3229" t="s">
        <v>22</v>
      </c>
    </row>
    <row r="3230" spans="1:10" x14ac:dyDescent="0.25">
      <c r="A3230" t="s">
        <v>1551</v>
      </c>
      <c r="B3230" t="s">
        <v>2089</v>
      </c>
      <c r="C3230" s="2">
        <v>45015</v>
      </c>
      <c r="D3230" s="2">
        <v>1733</v>
      </c>
      <c r="E3230">
        <v>0</v>
      </c>
      <c r="F3230">
        <v>0</v>
      </c>
      <c r="G3230">
        <v>0</v>
      </c>
      <c r="H3230">
        <v>0</v>
      </c>
      <c r="I3230" t="s">
        <v>22</v>
      </c>
      <c r="J3230" t="s">
        <v>22</v>
      </c>
    </row>
    <row r="3231" spans="1:10" x14ac:dyDescent="0.25">
      <c r="A3231" t="s">
        <v>1553</v>
      </c>
      <c r="B3231" t="s">
        <v>1554</v>
      </c>
      <c r="C3231">
        <v>0</v>
      </c>
      <c r="D3231">
        <v>0</v>
      </c>
      <c r="E3231">
        <v>0</v>
      </c>
      <c r="F3231">
        <v>0</v>
      </c>
      <c r="G3231">
        <v>0</v>
      </c>
      <c r="H3231">
        <v>0</v>
      </c>
      <c r="I3231" t="s">
        <v>22</v>
      </c>
      <c r="J3231" t="s">
        <v>22</v>
      </c>
    </row>
    <row r="3232" spans="1:10" x14ac:dyDescent="0.25">
      <c r="A3232" t="s">
        <v>1555</v>
      </c>
      <c r="B3232" t="s">
        <v>1556</v>
      </c>
      <c r="C3232" s="2">
        <v>58578</v>
      </c>
      <c r="D3232" s="2">
        <v>2256</v>
      </c>
      <c r="E3232">
        <v>0</v>
      </c>
      <c r="F3232">
        <v>0</v>
      </c>
      <c r="G3232">
        <v>0</v>
      </c>
      <c r="H3232">
        <v>0</v>
      </c>
      <c r="I3232" t="s">
        <v>22</v>
      </c>
      <c r="J3232" t="s">
        <v>22</v>
      </c>
    </row>
    <row r="3233" spans="1:10" x14ac:dyDescent="0.25">
      <c r="A3233" t="s">
        <v>1557</v>
      </c>
      <c r="B3233" t="s">
        <v>422</v>
      </c>
      <c r="C3233" s="2">
        <v>5000</v>
      </c>
      <c r="D3233">
        <v>192</v>
      </c>
      <c r="E3233">
        <v>0</v>
      </c>
      <c r="F3233">
        <v>0</v>
      </c>
      <c r="G3233">
        <v>0</v>
      </c>
      <c r="H3233">
        <v>0</v>
      </c>
      <c r="I3233" t="s">
        <v>22</v>
      </c>
      <c r="J3233" t="s">
        <v>22</v>
      </c>
    </row>
    <row r="3234" spans="1:10" x14ac:dyDescent="0.25">
      <c r="A3234" t="s">
        <v>1558</v>
      </c>
      <c r="B3234" t="s">
        <v>690</v>
      </c>
      <c r="C3234" s="2">
        <v>1003</v>
      </c>
      <c r="D3234">
        <v>0</v>
      </c>
      <c r="E3234">
        <v>0</v>
      </c>
      <c r="F3234">
        <v>0</v>
      </c>
      <c r="G3234">
        <v>0</v>
      </c>
      <c r="H3234">
        <v>0</v>
      </c>
      <c r="I3234" t="s">
        <v>22</v>
      </c>
      <c r="J3234" t="s">
        <v>22</v>
      </c>
    </row>
    <row r="3235" spans="1:10" x14ac:dyDescent="0.25">
      <c r="A3235" t="s">
        <v>1559</v>
      </c>
      <c r="B3235" t="s">
        <v>426</v>
      </c>
      <c r="C3235" s="2">
        <v>1215</v>
      </c>
      <c r="D3235">
        <v>0</v>
      </c>
      <c r="E3235">
        <v>0</v>
      </c>
      <c r="F3235">
        <v>0</v>
      </c>
      <c r="G3235">
        <v>0</v>
      </c>
      <c r="H3235">
        <v>0</v>
      </c>
      <c r="I3235" t="s">
        <v>22</v>
      </c>
      <c r="J3235" t="s">
        <v>22</v>
      </c>
    </row>
    <row r="3236" spans="1:10" x14ac:dyDescent="0.25">
      <c r="A3236" t="s">
        <v>1560</v>
      </c>
      <c r="B3236" t="s">
        <v>428</v>
      </c>
      <c r="C3236" s="2">
        <v>1200</v>
      </c>
      <c r="D3236">
        <v>46</v>
      </c>
      <c r="E3236">
        <v>0</v>
      </c>
      <c r="F3236">
        <v>0</v>
      </c>
      <c r="G3236">
        <v>0</v>
      </c>
      <c r="H3236">
        <v>0</v>
      </c>
      <c r="I3236" t="s">
        <v>22</v>
      </c>
      <c r="J3236" t="s">
        <v>22</v>
      </c>
    </row>
    <row r="3237" spans="1:10" x14ac:dyDescent="0.25">
      <c r="A3237" t="s">
        <v>1561</v>
      </c>
      <c r="B3237" t="s">
        <v>430</v>
      </c>
      <c r="C3237">
        <v>104</v>
      </c>
      <c r="D3237">
        <v>0</v>
      </c>
      <c r="E3237">
        <v>0</v>
      </c>
      <c r="F3237">
        <v>0</v>
      </c>
      <c r="G3237">
        <v>0</v>
      </c>
      <c r="H3237">
        <v>0</v>
      </c>
      <c r="I3237" t="s">
        <v>22</v>
      </c>
      <c r="J3237" t="s">
        <v>22</v>
      </c>
    </row>
    <row r="3238" spans="1:10" x14ac:dyDescent="0.25">
      <c r="A3238" t="s">
        <v>1562</v>
      </c>
      <c r="B3238" t="s">
        <v>432</v>
      </c>
      <c r="C3238">
        <v>0</v>
      </c>
      <c r="D3238">
        <v>0</v>
      </c>
      <c r="E3238">
        <v>0</v>
      </c>
      <c r="F3238">
        <v>0</v>
      </c>
      <c r="G3238">
        <v>0</v>
      </c>
      <c r="H3238">
        <v>0</v>
      </c>
      <c r="I3238" t="s">
        <v>22</v>
      </c>
      <c r="J3238" t="s">
        <v>22</v>
      </c>
    </row>
    <row r="3239" spans="1:10" x14ac:dyDescent="0.25">
      <c r="A3239" t="s">
        <v>1563</v>
      </c>
      <c r="B3239" t="s">
        <v>434</v>
      </c>
      <c r="C3239">
        <v>0</v>
      </c>
      <c r="D3239">
        <v>0</v>
      </c>
      <c r="E3239">
        <v>0</v>
      </c>
      <c r="F3239">
        <v>0</v>
      </c>
      <c r="G3239">
        <v>0</v>
      </c>
      <c r="H3239">
        <v>0</v>
      </c>
      <c r="I3239" t="s">
        <v>22</v>
      </c>
      <c r="J3239" t="s">
        <v>22</v>
      </c>
    </row>
    <row r="3240" spans="1:10" x14ac:dyDescent="0.25">
      <c r="A3240" t="s">
        <v>1564</v>
      </c>
      <c r="B3240" t="s">
        <v>436</v>
      </c>
      <c r="C3240">
        <v>0</v>
      </c>
      <c r="D3240">
        <v>0</v>
      </c>
      <c r="E3240">
        <v>0</v>
      </c>
      <c r="F3240">
        <v>0</v>
      </c>
      <c r="G3240">
        <v>0</v>
      </c>
      <c r="H3240">
        <v>0</v>
      </c>
      <c r="I3240" t="s">
        <v>22</v>
      </c>
      <c r="J3240" t="s">
        <v>22</v>
      </c>
    </row>
    <row r="3241" spans="1:10" x14ac:dyDescent="0.25">
      <c r="A3241" t="s">
        <v>1565</v>
      </c>
      <c r="B3241" t="s">
        <v>607</v>
      </c>
      <c r="C3241">
        <v>0</v>
      </c>
      <c r="D3241">
        <v>0</v>
      </c>
      <c r="E3241">
        <v>0</v>
      </c>
      <c r="F3241">
        <v>0</v>
      </c>
      <c r="G3241">
        <v>0</v>
      </c>
      <c r="H3241">
        <v>0</v>
      </c>
      <c r="I3241" t="s">
        <v>22</v>
      </c>
      <c r="J3241" t="s">
        <v>22</v>
      </c>
    </row>
    <row r="3242" spans="1:10" x14ac:dyDescent="0.25">
      <c r="C3242" t="s">
        <v>108</v>
      </c>
      <c r="D3242" t="s">
        <v>108</v>
      </c>
      <c r="E3242" t="s">
        <v>108</v>
      </c>
      <c r="F3242" t="s">
        <v>108</v>
      </c>
      <c r="G3242" t="s">
        <v>108</v>
      </c>
    </row>
    <row r="3243" spans="1:10" x14ac:dyDescent="0.25">
      <c r="H3243" t="s">
        <v>22</v>
      </c>
      <c r="I3243" t="s">
        <v>22</v>
      </c>
      <c r="J3243" t="s">
        <v>22</v>
      </c>
    </row>
    <row r="3244" spans="1:10" x14ac:dyDescent="0.25">
      <c r="A3244" t="s">
        <v>109</v>
      </c>
    </row>
    <row r="3245" spans="1:10" x14ac:dyDescent="0.25">
      <c r="B3245" t="s">
        <v>441</v>
      </c>
      <c r="C3245" s="2">
        <v>269745</v>
      </c>
      <c r="D3245" s="2">
        <v>5931</v>
      </c>
      <c r="E3245">
        <v>0</v>
      </c>
      <c r="F3245">
        <v>0</v>
      </c>
      <c r="G3245">
        <v>0</v>
      </c>
      <c r="H3245">
        <v>0</v>
      </c>
    </row>
    <row r="3247" spans="1:10" x14ac:dyDescent="0.25">
      <c r="A3247" t="s">
        <v>442</v>
      </c>
      <c r="B3247" t="s">
        <v>443</v>
      </c>
    </row>
    <row r="3248" spans="1:10" x14ac:dyDescent="0.25">
      <c r="A3248" t="s">
        <v>18</v>
      </c>
      <c r="B3248" t="s">
        <v>21</v>
      </c>
    </row>
    <row r="3249" spans="1:10" x14ac:dyDescent="0.25">
      <c r="A3249" t="s">
        <v>1566</v>
      </c>
      <c r="B3249" t="s">
        <v>445</v>
      </c>
      <c r="C3249">
        <v>0</v>
      </c>
      <c r="D3249">
        <v>0</v>
      </c>
      <c r="E3249">
        <v>76</v>
      </c>
      <c r="F3249">
        <v>83</v>
      </c>
      <c r="G3249">
        <v>448</v>
      </c>
      <c r="H3249">
        <v>0</v>
      </c>
      <c r="I3249" t="s">
        <v>22</v>
      </c>
      <c r="J3249" t="s">
        <v>22</v>
      </c>
    </row>
    <row r="3250" spans="1:10" x14ac:dyDescent="0.25">
      <c r="A3250" t="s">
        <v>1567</v>
      </c>
      <c r="B3250" t="s">
        <v>449</v>
      </c>
      <c r="C3250">
        <v>0</v>
      </c>
      <c r="D3250">
        <v>0</v>
      </c>
      <c r="E3250">
        <v>0</v>
      </c>
      <c r="F3250">
        <v>0</v>
      </c>
      <c r="G3250">
        <v>0</v>
      </c>
      <c r="H3250">
        <v>0</v>
      </c>
      <c r="I3250" t="s">
        <v>22</v>
      </c>
      <c r="J3250" t="s">
        <v>22</v>
      </c>
    </row>
    <row r="3251" spans="1:10" x14ac:dyDescent="0.25">
      <c r="A3251" t="s">
        <v>1568</v>
      </c>
      <c r="B3251" t="s">
        <v>451</v>
      </c>
      <c r="C3251" s="2">
        <v>4759</v>
      </c>
      <c r="D3251">
        <v>0</v>
      </c>
      <c r="E3251">
        <v>0</v>
      </c>
      <c r="F3251">
        <v>0</v>
      </c>
      <c r="G3251">
        <v>0</v>
      </c>
      <c r="H3251">
        <v>0</v>
      </c>
      <c r="I3251" t="s">
        <v>22</v>
      </c>
      <c r="J3251" t="s">
        <v>22</v>
      </c>
    </row>
    <row r="3252" spans="1:10" x14ac:dyDescent="0.25">
      <c r="A3252" t="s">
        <v>1569</v>
      </c>
      <c r="B3252" t="s">
        <v>457</v>
      </c>
      <c r="C3252">
        <v>0</v>
      </c>
      <c r="D3252">
        <v>45</v>
      </c>
      <c r="E3252">
        <v>0</v>
      </c>
      <c r="F3252">
        <v>0</v>
      </c>
      <c r="G3252">
        <v>0</v>
      </c>
      <c r="H3252">
        <v>0</v>
      </c>
      <c r="I3252" t="s">
        <v>22</v>
      </c>
      <c r="J3252" t="s">
        <v>22</v>
      </c>
    </row>
    <row r="3253" spans="1:10" x14ac:dyDescent="0.25">
      <c r="A3253" t="s">
        <v>1570</v>
      </c>
      <c r="B3253" t="s">
        <v>465</v>
      </c>
      <c r="C3253" s="2">
        <v>11268</v>
      </c>
      <c r="D3253" s="2">
        <v>2892</v>
      </c>
      <c r="E3253" s="2">
        <v>3281</v>
      </c>
      <c r="F3253" s="2">
        <v>4800</v>
      </c>
      <c r="G3253" s="2">
        <v>2131</v>
      </c>
      <c r="H3253">
        <v>0</v>
      </c>
      <c r="I3253" t="s">
        <v>22</v>
      </c>
      <c r="J3253" t="s">
        <v>22</v>
      </c>
    </row>
    <row r="3254" spans="1:10" x14ac:dyDescent="0.25">
      <c r="A3254" t="s">
        <v>1571</v>
      </c>
      <c r="B3254" t="s">
        <v>471</v>
      </c>
      <c r="C3254" s="2">
        <v>24228</v>
      </c>
      <c r="D3254" s="2">
        <v>6133</v>
      </c>
      <c r="E3254" s="2">
        <v>6367</v>
      </c>
      <c r="F3254" s="2">
        <v>10000</v>
      </c>
      <c r="G3254" s="2">
        <v>4155</v>
      </c>
      <c r="H3254">
        <v>0</v>
      </c>
      <c r="I3254" t="s">
        <v>22</v>
      </c>
      <c r="J3254" t="s">
        <v>22</v>
      </c>
    </row>
    <row r="3255" spans="1:10" x14ac:dyDescent="0.25">
      <c r="A3255" t="s">
        <v>1572</v>
      </c>
      <c r="B3255" t="s">
        <v>473</v>
      </c>
      <c r="C3255" s="2">
        <v>36721</v>
      </c>
      <c r="D3255" s="2">
        <v>7979</v>
      </c>
      <c r="E3255" s="2">
        <v>7501</v>
      </c>
      <c r="F3255" s="2">
        <v>16000</v>
      </c>
      <c r="G3255" s="2">
        <v>7274</v>
      </c>
      <c r="H3255">
        <v>0</v>
      </c>
      <c r="I3255" t="s">
        <v>22</v>
      </c>
      <c r="J3255" t="s">
        <v>22</v>
      </c>
    </row>
    <row r="3256" spans="1:10" x14ac:dyDescent="0.25">
      <c r="A3256" t="s">
        <v>1573</v>
      </c>
      <c r="B3256" t="s">
        <v>1241</v>
      </c>
      <c r="C3256">
        <v>760</v>
      </c>
      <c r="D3256">
        <v>0</v>
      </c>
      <c r="E3256">
        <v>0</v>
      </c>
      <c r="F3256">
        <v>0</v>
      </c>
      <c r="G3256">
        <v>0</v>
      </c>
      <c r="H3256">
        <v>0</v>
      </c>
      <c r="I3256" t="s">
        <v>22</v>
      </c>
      <c r="J3256" t="s">
        <v>22</v>
      </c>
    </row>
    <row r="3257" spans="1:10" x14ac:dyDescent="0.25">
      <c r="A3257" t="s">
        <v>1574</v>
      </c>
      <c r="B3257" t="s">
        <v>475</v>
      </c>
      <c r="C3257">
        <v>777</v>
      </c>
      <c r="D3257">
        <v>0</v>
      </c>
      <c r="E3257">
        <v>0</v>
      </c>
      <c r="F3257">
        <v>500</v>
      </c>
      <c r="G3257">
        <v>0</v>
      </c>
      <c r="H3257">
        <v>0</v>
      </c>
      <c r="I3257" t="s">
        <v>22</v>
      </c>
      <c r="J3257" t="s">
        <v>22</v>
      </c>
    </row>
    <row r="3258" spans="1:10" x14ac:dyDescent="0.25">
      <c r="A3258" t="s">
        <v>1575</v>
      </c>
      <c r="B3258" t="s">
        <v>762</v>
      </c>
      <c r="C3258" s="2">
        <v>39646</v>
      </c>
      <c r="D3258" s="2">
        <v>7881</v>
      </c>
      <c r="E3258" s="2">
        <v>6846</v>
      </c>
      <c r="F3258" s="2">
        <v>17000</v>
      </c>
      <c r="G3258">
        <v>70</v>
      </c>
      <c r="H3258">
        <v>0</v>
      </c>
      <c r="I3258" t="s">
        <v>22</v>
      </c>
      <c r="J3258" t="s">
        <v>22</v>
      </c>
    </row>
    <row r="3259" spans="1:10" x14ac:dyDescent="0.25">
      <c r="C3259" t="s">
        <v>108</v>
      </c>
      <c r="D3259" t="s">
        <v>108</v>
      </c>
      <c r="E3259" t="s">
        <v>108</v>
      </c>
      <c r="F3259" t="s">
        <v>108</v>
      </c>
      <c r="G3259" t="s">
        <v>108</v>
      </c>
    </row>
    <row r="3260" spans="1:10" x14ac:dyDescent="0.25">
      <c r="H3260" t="s">
        <v>22</v>
      </c>
      <c r="I3260" t="s">
        <v>22</v>
      </c>
      <c r="J3260" t="s">
        <v>22</v>
      </c>
    </row>
    <row r="3261" spans="1:10" x14ac:dyDescent="0.25">
      <c r="A3261" t="s">
        <v>109</v>
      </c>
    </row>
    <row r="3262" spans="1:10" x14ac:dyDescent="0.25">
      <c r="B3262" t="s">
        <v>478</v>
      </c>
      <c r="C3262" s="2">
        <v>118158</v>
      </c>
      <c r="D3262" s="2">
        <v>24930</v>
      </c>
      <c r="E3262" s="2">
        <v>24071</v>
      </c>
      <c r="F3262" s="2">
        <v>48383</v>
      </c>
      <c r="G3262" s="2">
        <v>14078</v>
      </c>
      <c r="H3262">
        <v>0</v>
      </c>
    </row>
    <row r="3263" spans="1:10" x14ac:dyDescent="0.25">
      <c r="A3263" t="s">
        <v>110</v>
      </c>
    </row>
    <row r="3264" spans="1:10" x14ac:dyDescent="0.25">
      <c r="A3264" s="1">
        <v>43991</v>
      </c>
      <c r="B3264" t="s">
        <v>1615</v>
      </c>
      <c r="D3264" t="s">
        <v>112</v>
      </c>
      <c r="E3264" t="s">
        <v>113</v>
      </c>
      <c r="F3264" t="s">
        <v>114</v>
      </c>
      <c r="J3264" t="s">
        <v>479</v>
      </c>
    </row>
    <row r="3265" spans="1:10" x14ac:dyDescent="0.25">
      <c r="D3265" t="s">
        <v>116</v>
      </c>
      <c r="E3265" t="s">
        <v>117</v>
      </c>
      <c r="F3265" t="s">
        <v>118</v>
      </c>
    </row>
    <row r="3266" spans="1:10" x14ac:dyDescent="0.25">
      <c r="D3266" t="s">
        <v>119</v>
      </c>
      <c r="E3266" t="s">
        <v>120</v>
      </c>
      <c r="F3266" t="s">
        <v>121</v>
      </c>
    </row>
    <row r="3267" spans="1:10" x14ac:dyDescent="0.25">
      <c r="A3267" t="s">
        <v>1906</v>
      </c>
      <c r="B3267" t="s">
        <v>1907</v>
      </c>
    </row>
    <row r="3268" spans="1:10" x14ac:dyDescent="0.25">
      <c r="A3268" t="s">
        <v>386</v>
      </c>
    </row>
    <row r="3269" spans="1:10" x14ac:dyDescent="0.25">
      <c r="F3269" t="s">
        <v>2</v>
      </c>
      <c r="G3269" t="s">
        <v>3</v>
      </c>
      <c r="H3269" t="s">
        <v>4</v>
      </c>
      <c r="I3269" t="s">
        <v>5</v>
      </c>
      <c r="J3269" t="s">
        <v>6</v>
      </c>
    </row>
    <row r="3270" spans="1:10" x14ac:dyDescent="0.25">
      <c r="C3270" t="s">
        <v>7</v>
      </c>
      <c r="D3270" t="s">
        <v>8</v>
      </c>
      <c r="E3270" t="s">
        <v>9</v>
      </c>
      <c r="F3270" t="s">
        <v>10</v>
      </c>
      <c r="G3270" t="s">
        <v>124</v>
      </c>
      <c r="H3270" t="s">
        <v>12</v>
      </c>
      <c r="I3270" t="s">
        <v>13</v>
      </c>
      <c r="J3270" t="s">
        <v>14</v>
      </c>
    </row>
    <row r="3271" spans="1:10" x14ac:dyDescent="0.25">
      <c r="C3271" t="s">
        <v>15</v>
      </c>
      <c r="D3271" t="s">
        <v>15</v>
      </c>
      <c r="E3271" t="s">
        <v>15</v>
      </c>
      <c r="F3271" t="s">
        <v>16</v>
      </c>
      <c r="G3271" t="s">
        <v>15</v>
      </c>
      <c r="H3271" t="s">
        <v>17</v>
      </c>
      <c r="I3271" t="s">
        <v>16</v>
      </c>
      <c r="J3271" t="s">
        <v>16</v>
      </c>
    </row>
    <row r="3272" spans="1:10" x14ac:dyDescent="0.25">
      <c r="A3272" t="s">
        <v>18</v>
      </c>
      <c r="B3272" t="s">
        <v>19</v>
      </c>
      <c r="C3272" t="s">
        <v>20</v>
      </c>
      <c r="D3272" t="s">
        <v>21</v>
      </c>
      <c r="E3272" t="s">
        <v>22</v>
      </c>
      <c r="F3272" t="s">
        <v>23</v>
      </c>
      <c r="G3272" t="s">
        <v>24</v>
      </c>
      <c r="H3272" t="s">
        <v>20</v>
      </c>
      <c r="I3272" t="s">
        <v>24</v>
      </c>
      <c r="J3272" t="s">
        <v>20</v>
      </c>
    </row>
    <row r="3274" spans="1:10" x14ac:dyDescent="0.25">
      <c r="A3274" t="s">
        <v>489</v>
      </c>
    </row>
    <row r="3275" spans="1:10" x14ac:dyDescent="0.25">
      <c r="A3275" t="s">
        <v>18</v>
      </c>
    </row>
    <row r="3276" spans="1:10" x14ac:dyDescent="0.25">
      <c r="A3276" t="s">
        <v>1576</v>
      </c>
      <c r="B3276" t="s">
        <v>491</v>
      </c>
      <c r="C3276">
        <v>0</v>
      </c>
      <c r="D3276">
        <v>0</v>
      </c>
      <c r="E3276">
        <v>0</v>
      </c>
      <c r="F3276">
        <v>0</v>
      </c>
      <c r="G3276">
        <v>0</v>
      </c>
      <c r="H3276">
        <v>0</v>
      </c>
      <c r="I3276" t="s">
        <v>22</v>
      </c>
      <c r="J3276" t="s">
        <v>22</v>
      </c>
    </row>
    <row r="3277" spans="1:10" x14ac:dyDescent="0.25">
      <c r="A3277" t="s">
        <v>1577</v>
      </c>
      <c r="B3277" t="s">
        <v>493</v>
      </c>
      <c r="C3277">
        <v>0</v>
      </c>
      <c r="D3277">
        <v>0</v>
      </c>
      <c r="E3277">
        <v>0</v>
      </c>
      <c r="F3277">
        <v>0</v>
      </c>
      <c r="G3277">
        <v>0</v>
      </c>
      <c r="H3277">
        <v>0</v>
      </c>
      <c r="I3277" t="s">
        <v>22</v>
      </c>
      <c r="J3277" t="s">
        <v>22</v>
      </c>
    </row>
    <row r="3278" spans="1:10" x14ac:dyDescent="0.25">
      <c r="A3278" t="s">
        <v>1578</v>
      </c>
      <c r="B3278" t="s">
        <v>489</v>
      </c>
      <c r="C3278">
        <v>832</v>
      </c>
      <c r="D3278">
        <v>0</v>
      </c>
      <c r="E3278">
        <v>0</v>
      </c>
      <c r="F3278">
        <v>500</v>
      </c>
      <c r="G3278">
        <v>0</v>
      </c>
      <c r="H3278">
        <v>0</v>
      </c>
      <c r="I3278" t="s">
        <v>22</v>
      </c>
      <c r="J3278" t="s">
        <v>22</v>
      </c>
    </row>
    <row r="3279" spans="1:10" x14ac:dyDescent="0.25">
      <c r="A3279" t="s">
        <v>1579</v>
      </c>
      <c r="B3279" t="s">
        <v>498</v>
      </c>
      <c r="C3279">
        <v>0</v>
      </c>
      <c r="D3279">
        <v>0</v>
      </c>
      <c r="E3279">
        <v>0</v>
      </c>
      <c r="F3279">
        <v>0</v>
      </c>
      <c r="G3279">
        <v>0</v>
      </c>
      <c r="H3279">
        <v>0</v>
      </c>
      <c r="I3279" t="s">
        <v>22</v>
      </c>
      <c r="J3279" t="s">
        <v>22</v>
      </c>
    </row>
    <row r="3280" spans="1:10" x14ac:dyDescent="0.25">
      <c r="A3280" t="s">
        <v>1580</v>
      </c>
      <c r="B3280" t="s">
        <v>500</v>
      </c>
      <c r="C3280">
        <v>0</v>
      </c>
      <c r="D3280">
        <v>0</v>
      </c>
      <c r="E3280">
        <v>0</v>
      </c>
      <c r="F3280">
        <v>0</v>
      </c>
      <c r="G3280">
        <v>0</v>
      </c>
      <c r="H3280">
        <v>0</v>
      </c>
      <c r="I3280" t="s">
        <v>22</v>
      </c>
      <c r="J3280" t="s">
        <v>22</v>
      </c>
    </row>
    <row r="3281" spans="1:10" x14ac:dyDescent="0.25">
      <c r="C3281" t="s">
        <v>108</v>
      </c>
      <c r="D3281" t="s">
        <v>108</v>
      </c>
      <c r="E3281" t="s">
        <v>108</v>
      </c>
      <c r="F3281" t="s">
        <v>108</v>
      </c>
      <c r="G3281" t="s">
        <v>108</v>
      </c>
    </row>
    <row r="3282" spans="1:10" x14ac:dyDescent="0.25">
      <c r="H3282" t="s">
        <v>22</v>
      </c>
      <c r="I3282" t="s">
        <v>22</v>
      </c>
      <c r="J3282" t="s">
        <v>22</v>
      </c>
    </row>
    <row r="3283" spans="1:10" x14ac:dyDescent="0.25">
      <c r="A3283" t="s">
        <v>109</v>
      </c>
    </row>
    <row r="3284" spans="1:10" x14ac:dyDescent="0.25">
      <c r="B3284" t="s">
        <v>489</v>
      </c>
      <c r="C3284">
        <v>832</v>
      </c>
      <c r="D3284">
        <v>0</v>
      </c>
      <c r="E3284">
        <v>0</v>
      </c>
      <c r="F3284">
        <v>500</v>
      </c>
      <c r="G3284">
        <v>0</v>
      </c>
      <c r="H3284">
        <v>0</v>
      </c>
    </row>
    <row r="3286" spans="1:10" x14ac:dyDescent="0.25">
      <c r="A3286" t="s">
        <v>501</v>
      </c>
    </row>
    <row r="3287" spans="1:10" x14ac:dyDescent="0.25">
      <c r="A3287" t="s">
        <v>18</v>
      </c>
    </row>
    <row r="3288" spans="1:10" x14ac:dyDescent="0.25">
      <c r="A3288" t="s">
        <v>1582</v>
      </c>
      <c r="B3288" t="s">
        <v>503</v>
      </c>
      <c r="C3288" s="2">
        <v>30649</v>
      </c>
      <c r="D3288">
        <v>0</v>
      </c>
      <c r="E3288">
        <v>500</v>
      </c>
      <c r="F3288">
        <v>0</v>
      </c>
      <c r="G3288">
        <v>0</v>
      </c>
      <c r="H3288">
        <v>0</v>
      </c>
      <c r="I3288" t="s">
        <v>22</v>
      </c>
      <c r="J3288" t="s">
        <v>22</v>
      </c>
    </row>
    <row r="3289" spans="1:10" x14ac:dyDescent="0.25">
      <c r="A3289" t="s">
        <v>1583</v>
      </c>
      <c r="B3289" t="s">
        <v>519</v>
      </c>
      <c r="C3289">
        <v>0</v>
      </c>
      <c r="D3289">
        <v>0</v>
      </c>
      <c r="E3289">
        <v>0</v>
      </c>
      <c r="F3289">
        <v>0</v>
      </c>
      <c r="G3289">
        <v>0</v>
      </c>
      <c r="H3289">
        <v>0</v>
      </c>
      <c r="I3289" t="s">
        <v>22</v>
      </c>
      <c r="J3289" t="s">
        <v>22</v>
      </c>
    </row>
    <row r="3290" spans="1:10" x14ac:dyDescent="0.25">
      <c r="A3290" t="s">
        <v>1584</v>
      </c>
      <c r="B3290" t="s">
        <v>521</v>
      </c>
      <c r="C3290" s="2">
        <v>78796</v>
      </c>
      <c r="D3290" s="2">
        <v>17258</v>
      </c>
      <c r="E3290" s="2">
        <v>14770</v>
      </c>
      <c r="F3290" s="2">
        <v>35000</v>
      </c>
      <c r="G3290" s="2">
        <v>26212</v>
      </c>
      <c r="H3290">
        <v>0</v>
      </c>
      <c r="I3290" t="s">
        <v>22</v>
      </c>
      <c r="J3290" t="s">
        <v>22</v>
      </c>
    </row>
    <row r="3291" spans="1:10" x14ac:dyDescent="0.25">
      <c r="C3291" t="s">
        <v>108</v>
      </c>
      <c r="D3291" t="s">
        <v>108</v>
      </c>
      <c r="E3291" t="s">
        <v>108</v>
      </c>
      <c r="F3291" t="s">
        <v>108</v>
      </c>
      <c r="G3291" t="s">
        <v>108</v>
      </c>
    </row>
    <row r="3292" spans="1:10" x14ac:dyDescent="0.25">
      <c r="H3292" t="s">
        <v>22</v>
      </c>
      <c r="I3292" t="s">
        <v>22</v>
      </c>
      <c r="J3292" t="s">
        <v>22</v>
      </c>
    </row>
    <row r="3293" spans="1:10" x14ac:dyDescent="0.25">
      <c r="A3293" t="s">
        <v>109</v>
      </c>
    </row>
    <row r="3294" spans="1:10" x14ac:dyDescent="0.25">
      <c r="B3294" t="s">
        <v>501</v>
      </c>
      <c r="C3294" s="2">
        <v>109445</v>
      </c>
      <c r="D3294" s="2">
        <v>17258</v>
      </c>
      <c r="E3294" s="2">
        <v>15270</v>
      </c>
      <c r="F3294" s="2">
        <v>35000</v>
      </c>
      <c r="G3294" s="2">
        <v>26212</v>
      </c>
      <c r="H3294">
        <v>0</v>
      </c>
    </row>
    <row r="3296" spans="1:10" x14ac:dyDescent="0.25">
      <c r="A3296" t="s">
        <v>524</v>
      </c>
      <c r="B3296" t="s">
        <v>525</v>
      </c>
    </row>
    <row r="3297" spans="1:10" x14ac:dyDescent="0.25">
      <c r="A3297" t="s">
        <v>18</v>
      </c>
      <c r="B3297" t="s">
        <v>526</v>
      </c>
    </row>
    <row r="3298" spans="1:10" x14ac:dyDescent="0.25">
      <c r="A3298" t="s">
        <v>1585</v>
      </c>
      <c r="B3298" t="s">
        <v>1282</v>
      </c>
      <c r="C3298">
        <v>0</v>
      </c>
      <c r="D3298">
        <v>0</v>
      </c>
      <c r="E3298">
        <v>0</v>
      </c>
      <c r="F3298">
        <v>0</v>
      </c>
      <c r="G3298">
        <v>0</v>
      </c>
      <c r="H3298">
        <v>0</v>
      </c>
      <c r="I3298" t="s">
        <v>22</v>
      </c>
      <c r="J3298" t="s">
        <v>22</v>
      </c>
    </row>
    <row r="3299" spans="1:10" x14ac:dyDescent="0.25">
      <c r="A3299" t="s">
        <v>1586</v>
      </c>
      <c r="B3299" t="s">
        <v>534</v>
      </c>
      <c r="C3299">
        <v>0</v>
      </c>
      <c r="D3299">
        <v>0</v>
      </c>
      <c r="E3299">
        <v>0</v>
      </c>
      <c r="F3299">
        <v>0</v>
      </c>
      <c r="G3299">
        <v>0</v>
      </c>
      <c r="H3299">
        <v>0</v>
      </c>
      <c r="I3299" t="s">
        <v>22</v>
      </c>
      <c r="J3299" t="s">
        <v>22</v>
      </c>
    </row>
    <row r="3300" spans="1:10" x14ac:dyDescent="0.25">
      <c r="A3300" t="s">
        <v>1587</v>
      </c>
      <c r="B3300" t="s">
        <v>728</v>
      </c>
      <c r="C3300">
        <v>0</v>
      </c>
      <c r="D3300">
        <v>0</v>
      </c>
      <c r="E3300">
        <v>0</v>
      </c>
      <c r="F3300">
        <v>0</v>
      </c>
      <c r="G3300">
        <v>0</v>
      </c>
      <c r="H3300">
        <v>0</v>
      </c>
      <c r="I3300" t="s">
        <v>22</v>
      </c>
      <c r="J3300" t="s">
        <v>22</v>
      </c>
    </row>
    <row r="3301" spans="1:10" x14ac:dyDescent="0.25">
      <c r="C3301" t="s">
        <v>108</v>
      </c>
      <c r="D3301" t="s">
        <v>108</v>
      </c>
      <c r="E3301" t="s">
        <v>108</v>
      </c>
      <c r="F3301" t="s">
        <v>108</v>
      </c>
      <c r="G3301" t="s">
        <v>108</v>
      </c>
    </row>
    <row r="3302" spans="1:10" x14ac:dyDescent="0.25">
      <c r="H3302" t="s">
        <v>22</v>
      </c>
      <c r="I3302" t="s">
        <v>22</v>
      </c>
      <c r="J3302" t="s">
        <v>22</v>
      </c>
    </row>
    <row r="3303" spans="1:10" x14ac:dyDescent="0.25">
      <c r="A3303" t="s">
        <v>109</v>
      </c>
    </row>
    <row r="3304" spans="1:10" x14ac:dyDescent="0.25">
      <c r="B3304" t="s">
        <v>530</v>
      </c>
      <c r="C3304">
        <v>0</v>
      </c>
      <c r="D3304">
        <v>0</v>
      </c>
      <c r="E3304">
        <v>0</v>
      </c>
      <c r="F3304">
        <v>0</v>
      </c>
      <c r="G3304">
        <v>0</v>
      </c>
      <c r="H3304">
        <v>0</v>
      </c>
    </row>
    <row r="3305" spans="1:10" x14ac:dyDescent="0.25">
      <c r="A3305" t="s">
        <v>18</v>
      </c>
      <c r="B3305" t="s">
        <v>19</v>
      </c>
      <c r="C3305" t="s">
        <v>20</v>
      </c>
      <c r="D3305" t="s">
        <v>21</v>
      </c>
      <c r="E3305" t="s">
        <v>26</v>
      </c>
    </row>
    <row r="3306" spans="1:10" x14ac:dyDescent="0.25">
      <c r="E3306" t="s">
        <v>339</v>
      </c>
      <c r="F3306" t="s">
        <v>23</v>
      </c>
      <c r="G3306" t="s">
        <v>24</v>
      </c>
      <c r="H3306" t="s">
        <v>20</v>
      </c>
      <c r="I3306" t="s">
        <v>24</v>
      </c>
      <c r="J3306" t="s">
        <v>20</v>
      </c>
    </row>
    <row r="3307" spans="1:10" x14ac:dyDescent="0.25">
      <c r="A3307" t="s">
        <v>109</v>
      </c>
    </row>
    <row r="3308" spans="1:10" x14ac:dyDescent="0.25">
      <c r="A3308">
        <v>58</v>
      </c>
      <c r="B3308" t="e">
        <f>-UTILITY FUND INFO TECH</f>
        <v>#NAME?</v>
      </c>
      <c r="C3308" s="2">
        <v>498180</v>
      </c>
      <c r="D3308" s="2">
        <v>48120</v>
      </c>
      <c r="E3308" s="2">
        <v>39341</v>
      </c>
      <c r="F3308" s="2">
        <v>83883</v>
      </c>
      <c r="G3308" s="2">
        <v>40291</v>
      </c>
      <c r="H3308">
        <v>0</v>
      </c>
    </row>
    <row r="3310" spans="1:10" x14ac:dyDescent="0.25">
      <c r="A3310" t="s">
        <v>2090</v>
      </c>
      <c r="B3310" t="s">
        <v>2091</v>
      </c>
    </row>
    <row r="3311" spans="1:10" x14ac:dyDescent="0.25">
      <c r="A3311" t="s">
        <v>389</v>
      </c>
      <c r="B3311" t="s">
        <v>1467</v>
      </c>
    </row>
    <row r="3313" spans="1:10" x14ac:dyDescent="0.25">
      <c r="A3313" t="s">
        <v>391</v>
      </c>
      <c r="B3313" t="s">
        <v>392</v>
      </c>
    </row>
    <row r="3314" spans="1:10" x14ac:dyDescent="0.25">
      <c r="A3314" t="s">
        <v>18</v>
      </c>
      <c r="B3314" t="s">
        <v>228</v>
      </c>
    </row>
    <row r="3315" spans="1:10" x14ac:dyDescent="0.25">
      <c r="A3315" t="s">
        <v>2092</v>
      </c>
      <c r="B3315" t="s">
        <v>569</v>
      </c>
      <c r="C3315" s="2">
        <v>-2019</v>
      </c>
      <c r="D3315" s="2">
        <v>4270</v>
      </c>
      <c r="E3315">
        <v>0</v>
      </c>
      <c r="F3315">
        <v>0</v>
      </c>
      <c r="G3315">
        <v>0</v>
      </c>
      <c r="H3315">
        <v>0</v>
      </c>
      <c r="I3315" t="s">
        <v>22</v>
      </c>
      <c r="J3315" t="s">
        <v>22</v>
      </c>
    </row>
    <row r="3316" spans="1:10" x14ac:dyDescent="0.25">
      <c r="A3316" t="s">
        <v>2093</v>
      </c>
      <c r="B3316" t="s">
        <v>396</v>
      </c>
      <c r="C3316">
        <v>221</v>
      </c>
      <c r="D3316">
        <v>33</v>
      </c>
      <c r="E3316">
        <v>480</v>
      </c>
      <c r="F3316" s="2">
        <v>1260</v>
      </c>
      <c r="G3316">
        <v>0</v>
      </c>
      <c r="H3316">
        <v>0</v>
      </c>
      <c r="I3316" t="s">
        <v>22</v>
      </c>
      <c r="J3316" t="s">
        <v>22</v>
      </c>
    </row>
    <row r="3317" spans="1:10" x14ac:dyDescent="0.25">
      <c r="A3317" t="s">
        <v>2094</v>
      </c>
      <c r="B3317" t="s">
        <v>398</v>
      </c>
      <c r="C3317" s="2">
        <v>19696</v>
      </c>
      <c r="D3317" s="2">
        <v>12803</v>
      </c>
      <c r="E3317" s="2">
        <v>24179</v>
      </c>
      <c r="F3317" s="2">
        <v>35060</v>
      </c>
      <c r="G3317" s="2">
        <v>14899</v>
      </c>
      <c r="H3317">
        <v>0</v>
      </c>
      <c r="I3317" t="s">
        <v>22</v>
      </c>
      <c r="J3317" t="s">
        <v>22</v>
      </c>
    </row>
    <row r="3318" spans="1:10" x14ac:dyDescent="0.25">
      <c r="A3318" t="s">
        <v>2095</v>
      </c>
      <c r="B3318" t="s">
        <v>400</v>
      </c>
      <c r="C3318" s="2">
        <v>21007</v>
      </c>
      <c r="D3318" s="2">
        <v>14891</v>
      </c>
      <c r="E3318" s="2">
        <v>30090</v>
      </c>
      <c r="F3318" s="2">
        <v>43771</v>
      </c>
      <c r="G3318" s="2">
        <v>17027</v>
      </c>
      <c r="H3318">
        <v>0</v>
      </c>
      <c r="I3318" t="s">
        <v>22</v>
      </c>
      <c r="J3318" t="s">
        <v>22</v>
      </c>
    </row>
    <row r="3319" spans="1:10" x14ac:dyDescent="0.25">
      <c r="A3319" t="s">
        <v>2096</v>
      </c>
      <c r="B3319" t="s">
        <v>402</v>
      </c>
      <c r="C3319" s="2">
        <v>38493</v>
      </c>
      <c r="D3319" s="2">
        <v>32085</v>
      </c>
      <c r="E3319" s="2">
        <v>60940</v>
      </c>
      <c r="F3319" s="2">
        <v>89926</v>
      </c>
      <c r="G3319" s="2">
        <v>39994</v>
      </c>
      <c r="H3319">
        <v>0</v>
      </c>
      <c r="I3319" t="s">
        <v>22</v>
      </c>
      <c r="J3319" t="s">
        <v>22</v>
      </c>
    </row>
    <row r="3320" spans="1:10" x14ac:dyDescent="0.25">
      <c r="A3320" t="s">
        <v>2097</v>
      </c>
      <c r="B3320" t="s">
        <v>404</v>
      </c>
      <c r="C3320" s="2">
        <v>1941</v>
      </c>
      <c r="D3320" s="2">
        <v>1491</v>
      </c>
      <c r="E3320" s="2">
        <v>2636</v>
      </c>
      <c r="F3320" s="2">
        <v>3270</v>
      </c>
      <c r="G3320" s="2">
        <v>1620</v>
      </c>
      <c r="H3320">
        <v>0</v>
      </c>
      <c r="I3320" t="s">
        <v>22</v>
      </c>
      <c r="J3320" t="s">
        <v>22</v>
      </c>
    </row>
    <row r="3321" spans="1:10" x14ac:dyDescent="0.25">
      <c r="A3321" t="s">
        <v>2098</v>
      </c>
      <c r="B3321" t="s">
        <v>406</v>
      </c>
      <c r="C3321" s="2">
        <v>4167</v>
      </c>
      <c r="D3321" s="2">
        <v>3140</v>
      </c>
      <c r="E3321">
        <v>974</v>
      </c>
      <c r="F3321" s="2">
        <v>1071</v>
      </c>
      <c r="G3321" s="2">
        <v>1485</v>
      </c>
      <c r="H3321">
        <v>0</v>
      </c>
      <c r="I3321" t="s">
        <v>22</v>
      </c>
      <c r="J3321" t="s">
        <v>22</v>
      </c>
    </row>
    <row r="3322" spans="1:10" x14ac:dyDescent="0.25">
      <c r="A3322" t="s">
        <v>2099</v>
      </c>
      <c r="B3322" t="s">
        <v>1200</v>
      </c>
      <c r="C3322">
        <v>0</v>
      </c>
      <c r="D3322" s="2">
        <v>111686</v>
      </c>
      <c r="E3322" s="2">
        <v>118766</v>
      </c>
      <c r="F3322" s="2">
        <v>124704</v>
      </c>
      <c r="G3322" s="2">
        <v>88755</v>
      </c>
      <c r="H3322">
        <v>0</v>
      </c>
      <c r="I3322" t="s">
        <v>22</v>
      </c>
      <c r="J3322" t="s">
        <v>22</v>
      </c>
    </row>
    <row r="3323" spans="1:10" x14ac:dyDescent="0.25">
      <c r="A3323" t="s">
        <v>2100</v>
      </c>
      <c r="B3323" t="s">
        <v>2101</v>
      </c>
      <c r="C3323">
        <v>0</v>
      </c>
      <c r="D3323">
        <v>0</v>
      </c>
      <c r="E3323">
        <v>0</v>
      </c>
      <c r="F3323" s="2">
        <v>105000</v>
      </c>
      <c r="G3323" s="2">
        <v>29096</v>
      </c>
      <c r="H3323">
        <v>0</v>
      </c>
      <c r="I3323" t="s">
        <v>22</v>
      </c>
      <c r="J3323" t="s">
        <v>22</v>
      </c>
    </row>
    <row r="3324" spans="1:10" x14ac:dyDescent="0.25">
      <c r="A3324" t="s">
        <v>2102</v>
      </c>
      <c r="B3324" t="s">
        <v>1554</v>
      </c>
      <c r="C3324" s="2">
        <v>34253</v>
      </c>
      <c r="D3324" s="2">
        <v>31584</v>
      </c>
      <c r="E3324" s="2">
        <v>58649</v>
      </c>
      <c r="F3324" s="2">
        <v>61589</v>
      </c>
      <c r="G3324" s="2">
        <v>3250</v>
      </c>
      <c r="H3324">
        <v>0</v>
      </c>
      <c r="I3324" t="s">
        <v>22</v>
      </c>
      <c r="J3324" t="s">
        <v>22</v>
      </c>
    </row>
    <row r="3325" spans="1:10" x14ac:dyDescent="0.25">
      <c r="A3325" t="s">
        <v>2103</v>
      </c>
      <c r="B3325" t="s">
        <v>422</v>
      </c>
      <c r="C3325">
        <v>391</v>
      </c>
      <c r="D3325" s="2">
        <v>6000</v>
      </c>
      <c r="E3325" s="2">
        <v>6000</v>
      </c>
      <c r="F3325" s="2">
        <v>9900</v>
      </c>
      <c r="G3325" s="2">
        <v>4154</v>
      </c>
      <c r="H3325">
        <v>0</v>
      </c>
      <c r="I3325" t="s">
        <v>22</v>
      </c>
      <c r="J3325" t="s">
        <v>22</v>
      </c>
    </row>
    <row r="3326" spans="1:10" x14ac:dyDescent="0.25">
      <c r="A3326" t="s">
        <v>2104</v>
      </c>
      <c r="B3326" t="s">
        <v>690</v>
      </c>
      <c r="C3326">
        <v>657</v>
      </c>
      <c r="D3326">
        <v>104</v>
      </c>
      <c r="E3326">
        <v>173</v>
      </c>
      <c r="F3326">
        <v>465</v>
      </c>
      <c r="G3326">
        <v>311</v>
      </c>
      <c r="H3326">
        <v>0</v>
      </c>
      <c r="I3326" t="s">
        <v>22</v>
      </c>
      <c r="J3326" t="s">
        <v>22</v>
      </c>
    </row>
    <row r="3327" spans="1:10" x14ac:dyDescent="0.25">
      <c r="A3327" t="s">
        <v>2105</v>
      </c>
      <c r="B3327" t="s">
        <v>426</v>
      </c>
      <c r="C3327" s="2">
        <v>1215</v>
      </c>
      <c r="D3327">
        <v>810</v>
      </c>
      <c r="E3327">
        <v>810</v>
      </c>
      <c r="F3327" s="2">
        <v>2025</v>
      </c>
      <c r="G3327" s="2">
        <v>1246</v>
      </c>
      <c r="H3327">
        <v>0</v>
      </c>
      <c r="I3327" t="s">
        <v>22</v>
      </c>
      <c r="J3327" t="s">
        <v>22</v>
      </c>
    </row>
    <row r="3328" spans="1:10" x14ac:dyDescent="0.25">
      <c r="A3328" t="s">
        <v>2106</v>
      </c>
      <c r="B3328" t="s">
        <v>1204</v>
      </c>
      <c r="C3328">
        <v>180</v>
      </c>
      <c r="D3328">
        <v>0</v>
      </c>
      <c r="E3328">
        <v>180</v>
      </c>
      <c r="F3328">
        <v>360</v>
      </c>
      <c r="G3328">
        <v>0</v>
      </c>
      <c r="H3328">
        <v>0</v>
      </c>
      <c r="I3328" t="s">
        <v>22</v>
      </c>
      <c r="J3328" t="s">
        <v>22</v>
      </c>
    </row>
    <row r="3329" spans="1:10" x14ac:dyDescent="0.25">
      <c r="A3329" t="s">
        <v>2107</v>
      </c>
      <c r="B3329" t="s">
        <v>428</v>
      </c>
      <c r="C3329" s="2">
        <v>1073</v>
      </c>
      <c r="D3329">
        <v>646</v>
      </c>
      <c r="E3329">
        <v>600</v>
      </c>
      <c r="F3329" s="2">
        <v>1380</v>
      </c>
      <c r="G3329">
        <v>323</v>
      </c>
      <c r="H3329">
        <v>0</v>
      </c>
      <c r="I3329" t="s">
        <v>22</v>
      </c>
      <c r="J3329" t="s">
        <v>22</v>
      </c>
    </row>
    <row r="3330" spans="1:10" x14ac:dyDescent="0.25">
      <c r="A3330" t="s">
        <v>2108</v>
      </c>
      <c r="B3330" t="s">
        <v>430</v>
      </c>
      <c r="C3330">
        <v>138</v>
      </c>
      <c r="D3330">
        <v>69</v>
      </c>
      <c r="E3330">
        <v>138</v>
      </c>
      <c r="F3330">
        <v>208</v>
      </c>
      <c r="G3330">
        <v>104</v>
      </c>
      <c r="H3330">
        <v>0</v>
      </c>
      <c r="I3330" t="s">
        <v>22</v>
      </c>
      <c r="J3330" t="s">
        <v>22</v>
      </c>
    </row>
    <row r="3331" spans="1:10" x14ac:dyDescent="0.25">
      <c r="A3331" t="s">
        <v>2109</v>
      </c>
      <c r="B3331" t="s">
        <v>432</v>
      </c>
      <c r="C3331">
        <v>0</v>
      </c>
      <c r="D3331">
        <v>0</v>
      </c>
      <c r="E3331">
        <v>0</v>
      </c>
      <c r="F3331">
        <v>0</v>
      </c>
      <c r="G3331">
        <v>91</v>
      </c>
      <c r="H3331">
        <v>0</v>
      </c>
      <c r="I3331" t="s">
        <v>22</v>
      </c>
      <c r="J3331" t="s">
        <v>22</v>
      </c>
    </row>
    <row r="3332" spans="1:10" x14ac:dyDescent="0.25">
      <c r="A3332" t="s">
        <v>2110</v>
      </c>
      <c r="B3332" t="s">
        <v>434</v>
      </c>
      <c r="C3332" s="2">
        <v>144630</v>
      </c>
      <c r="D3332">
        <v>0</v>
      </c>
      <c r="E3332">
        <v>0</v>
      </c>
      <c r="F3332">
        <v>0</v>
      </c>
      <c r="G3332">
        <v>0</v>
      </c>
      <c r="H3332">
        <v>0</v>
      </c>
      <c r="I3332" t="s">
        <v>22</v>
      </c>
      <c r="J3332" t="s">
        <v>22</v>
      </c>
    </row>
    <row r="3333" spans="1:10" x14ac:dyDescent="0.25">
      <c r="A3333" t="s">
        <v>2111</v>
      </c>
      <c r="B3333" t="s">
        <v>2112</v>
      </c>
      <c r="C3333">
        <v>0</v>
      </c>
      <c r="D3333">
        <v>0</v>
      </c>
      <c r="E3333">
        <v>0</v>
      </c>
      <c r="F3333">
        <v>0</v>
      </c>
      <c r="G3333">
        <v>0</v>
      </c>
      <c r="H3333">
        <v>0</v>
      </c>
      <c r="I3333" t="s">
        <v>22</v>
      </c>
      <c r="J3333" t="s">
        <v>22</v>
      </c>
    </row>
    <row r="3334" spans="1:10" x14ac:dyDescent="0.25">
      <c r="A3334" t="s">
        <v>2113</v>
      </c>
      <c r="B3334" t="s">
        <v>2114</v>
      </c>
      <c r="C3334" s="2">
        <v>47125</v>
      </c>
      <c r="D3334" s="2">
        <v>29582</v>
      </c>
      <c r="E3334" s="2">
        <v>47290</v>
      </c>
      <c r="F3334" s="2">
        <v>50232</v>
      </c>
      <c r="G3334" s="2">
        <v>34586</v>
      </c>
      <c r="H3334">
        <v>0</v>
      </c>
      <c r="I3334" t="s">
        <v>22</v>
      </c>
      <c r="J3334" t="s">
        <v>22</v>
      </c>
    </row>
    <row r="3335" spans="1:10" x14ac:dyDescent="0.25">
      <c r="A3335" t="s">
        <v>2115</v>
      </c>
      <c r="B3335" t="s">
        <v>2116</v>
      </c>
      <c r="C3335" s="2">
        <v>25771</v>
      </c>
      <c r="D3335">
        <v>0</v>
      </c>
      <c r="E3335" s="2">
        <v>98567</v>
      </c>
      <c r="F3335" s="2">
        <v>105525</v>
      </c>
      <c r="G3335" s="2">
        <v>42229</v>
      </c>
      <c r="H3335">
        <v>0</v>
      </c>
      <c r="I3335" t="s">
        <v>22</v>
      </c>
      <c r="J3335" t="s">
        <v>22</v>
      </c>
    </row>
    <row r="3336" spans="1:10" x14ac:dyDescent="0.25">
      <c r="A3336" t="s">
        <v>2117</v>
      </c>
      <c r="B3336" t="s">
        <v>436</v>
      </c>
      <c r="C3336">
        <v>0</v>
      </c>
      <c r="D3336">
        <v>0</v>
      </c>
      <c r="E3336">
        <v>0</v>
      </c>
      <c r="F3336">
        <v>0</v>
      </c>
      <c r="G3336">
        <v>0</v>
      </c>
      <c r="H3336">
        <v>0</v>
      </c>
      <c r="I3336" t="s">
        <v>22</v>
      </c>
      <c r="J3336" t="s">
        <v>22</v>
      </c>
    </row>
    <row r="3337" spans="1:10" x14ac:dyDescent="0.25">
      <c r="A3337" t="s">
        <v>2118</v>
      </c>
      <c r="B3337" t="s">
        <v>607</v>
      </c>
      <c r="C3337">
        <v>0</v>
      </c>
      <c r="D3337">
        <v>0</v>
      </c>
      <c r="E3337">
        <v>0</v>
      </c>
      <c r="F3337">
        <v>0</v>
      </c>
      <c r="G3337">
        <v>0</v>
      </c>
      <c r="H3337">
        <v>0</v>
      </c>
      <c r="I3337" t="s">
        <v>22</v>
      </c>
      <c r="J3337" t="s">
        <v>22</v>
      </c>
    </row>
    <row r="3338" spans="1:10" x14ac:dyDescent="0.25">
      <c r="C3338" t="s">
        <v>108</v>
      </c>
      <c r="D3338" t="s">
        <v>108</v>
      </c>
      <c r="E3338" t="s">
        <v>108</v>
      </c>
      <c r="F3338" t="s">
        <v>108</v>
      </c>
      <c r="G3338" t="s">
        <v>108</v>
      </c>
    </row>
    <row r="3339" spans="1:10" x14ac:dyDescent="0.25">
      <c r="H3339" t="s">
        <v>22</v>
      </c>
      <c r="I3339" t="s">
        <v>22</v>
      </c>
      <c r="J3339" t="s">
        <v>22</v>
      </c>
    </row>
    <row r="3340" spans="1:10" x14ac:dyDescent="0.25">
      <c r="A3340" t="s">
        <v>109</v>
      </c>
    </row>
    <row r="3341" spans="1:10" x14ac:dyDescent="0.25">
      <c r="B3341" t="s">
        <v>441</v>
      </c>
      <c r="C3341" s="2">
        <v>338941</v>
      </c>
      <c r="D3341" s="2">
        <v>249195</v>
      </c>
      <c r="E3341" s="2">
        <v>450472</v>
      </c>
      <c r="F3341" s="2">
        <v>635746</v>
      </c>
      <c r="G3341" s="2">
        <v>279171</v>
      </c>
      <c r="H3341">
        <v>0</v>
      </c>
    </row>
    <row r="3342" spans="1:10" x14ac:dyDescent="0.25">
      <c r="A3342" t="s">
        <v>110</v>
      </c>
    </row>
    <row r="3343" spans="1:10" x14ac:dyDescent="0.25">
      <c r="A3343" s="1">
        <v>43991</v>
      </c>
      <c r="B3343" t="s">
        <v>1615</v>
      </c>
      <c r="D3343" t="s">
        <v>112</v>
      </c>
      <c r="E3343" t="s">
        <v>113</v>
      </c>
      <c r="F3343" t="s">
        <v>114</v>
      </c>
      <c r="J3343" t="s">
        <v>544</v>
      </c>
    </row>
    <row r="3344" spans="1:10" x14ac:dyDescent="0.25">
      <c r="D3344" t="s">
        <v>116</v>
      </c>
      <c r="E3344" t="s">
        <v>117</v>
      </c>
      <c r="F3344" t="s">
        <v>118</v>
      </c>
    </row>
    <row r="3345" spans="1:10" x14ac:dyDescent="0.25">
      <c r="D3345" t="s">
        <v>119</v>
      </c>
      <c r="E3345" t="s">
        <v>120</v>
      </c>
      <c r="F3345" t="s">
        <v>121</v>
      </c>
    </row>
    <row r="3346" spans="1:10" x14ac:dyDescent="0.25">
      <c r="A3346" t="s">
        <v>1906</v>
      </c>
      <c r="B3346" t="s">
        <v>1907</v>
      </c>
    </row>
    <row r="3347" spans="1:10" x14ac:dyDescent="0.25">
      <c r="A3347" t="s">
        <v>386</v>
      </c>
    </row>
    <row r="3348" spans="1:10" x14ac:dyDescent="0.25">
      <c r="F3348" t="s">
        <v>2</v>
      </c>
      <c r="G3348" t="s">
        <v>3</v>
      </c>
      <c r="H3348" t="s">
        <v>4</v>
      </c>
      <c r="I3348" t="s">
        <v>5</v>
      </c>
      <c r="J3348" t="s">
        <v>6</v>
      </c>
    </row>
    <row r="3349" spans="1:10" x14ac:dyDescent="0.25">
      <c r="C3349" t="s">
        <v>7</v>
      </c>
      <c r="D3349" t="s">
        <v>8</v>
      </c>
      <c r="E3349" t="s">
        <v>9</v>
      </c>
      <c r="F3349" t="s">
        <v>10</v>
      </c>
      <c r="G3349" t="s">
        <v>124</v>
      </c>
      <c r="H3349" t="s">
        <v>12</v>
      </c>
      <c r="I3349" t="s">
        <v>13</v>
      </c>
      <c r="J3349" t="s">
        <v>14</v>
      </c>
    </row>
    <row r="3350" spans="1:10" x14ac:dyDescent="0.25">
      <c r="C3350" t="s">
        <v>15</v>
      </c>
      <c r="D3350" t="s">
        <v>15</v>
      </c>
      <c r="E3350" t="s">
        <v>15</v>
      </c>
      <c r="F3350" t="s">
        <v>16</v>
      </c>
      <c r="G3350" t="s">
        <v>15</v>
      </c>
      <c r="H3350" t="s">
        <v>17</v>
      </c>
      <c r="I3350" t="s">
        <v>16</v>
      </c>
      <c r="J3350" t="s">
        <v>16</v>
      </c>
    </row>
    <row r="3351" spans="1:10" x14ac:dyDescent="0.25">
      <c r="A3351" t="s">
        <v>18</v>
      </c>
      <c r="B3351" t="s">
        <v>19</v>
      </c>
      <c r="C3351" t="s">
        <v>20</v>
      </c>
      <c r="D3351" t="s">
        <v>21</v>
      </c>
      <c r="E3351" t="s">
        <v>22</v>
      </c>
      <c r="F3351" t="s">
        <v>23</v>
      </c>
      <c r="G3351" t="s">
        <v>24</v>
      </c>
      <c r="H3351" t="s">
        <v>20</v>
      </c>
      <c r="I3351" t="s">
        <v>24</v>
      </c>
      <c r="J3351" t="s">
        <v>20</v>
      </c>
    </row>
    <row r="3353" spans="1:10" x14ac:dyDescent="0.25">
      <c r="A3353" t="s">
        <v>442</v>
      </c>
      <c r="B3353" t="s">
        <v>443</v>
      </c>
    </row>
    <row r="3354" spans="1:10" x14ac:dyDescent="0.25">
      <c r="A3354" t="s">
        <v>18</v>
      </c>
      <c r="B3354" t="s">
        <v>21</v>
      </c>
    </row>
    <row r="3355" spans="1:10" x14ac:dyDescent="0.25">
      <c r="A3355" t="s">
        <v>2119</v>
      </c>
      <c r="B3355" t="s">
        <v>445</v>
      </c>
      <c r="C3355" s="2">
        <v>14121</v>
      </c>
      <c r="D3355" s="2">
        <v>16337</v>
      </c>
      <c r="E3355" s="2">
        <v>17567</v>
      </c>
      <c r="F3355" s="2">
        <v>19324</v>
      </c>
      <c r="G3355" s="2">
        <v>14598</v>
      </c>
      <c r="H3355">
        <v>0</v>
      </c>
      <c r="I3355" t="s">
        <v>22</v>
      </c>
      <c r="J3355" t="s">
        <v>22</v>
      </c>
    </row>
    <row r="3356" spans="1:10" x14ac:dyDescent="0.25">
      <c r="A3356" t="s">
        <v>2120</v>
      </c>
      <c r="B3356" t="s">
        <v>447</v>
      </c>
      <c r="C3356">
        <v>368</v>
      </c>
      <c r="D3356">
        <v>300</v>
      </c>
      <c r="E3356">
        <v>156</v>
      </c>
      <c r="F3356">
        <v>750</v>
      </c>
      <c r="G3356">
        <v>90</v>
      </c>
      <c r="H3356">
        <v>0</v>
      </c>
      <c r="I3356" t="s">
        <v>22</v>
      </c>
      <c r="J3356" t="s">
        <v>22</v>
      </c>
    </row>
    <row r="3357" spans="1:10" x14ac:dyDescent="0.25">
      <c r="A3357" t="s">
        <v>2121</v>
      </c>
      <c r="B3357" t="s">
        <v>449</v>
      </c>
      <c r="C3357" s="2">
        <v>5155</v>
      </c>
      <c r="D3357">
        <v>0</v>
      </c>
      <c r="E3357">
        <v>0</v>
      </c>
      <c r="F3357" s="2">
        <v>1500</v>
      </c>
      <c r="G3357" s="2">
        <v>1446</v>
      </c>
      <c r="H3357">
        <v>0</v>
      </c>
      <c r="I3357" t="s">
        <v>22</v>
      </c>
      <c r="J3357" t="s">
        <v>22</v>
      </c>
    </row>
    <row r="3358" spans="1:10" x14ac:dyDescent="0.25">
      <c r="A3358" t="s">
        <v>2122</v>
      </c>
      <c r="B3358" t="s">
        <v>451</v>
      </c>
      <c r="C3358" s="2">
        <v>1870</v>
      </c>
      <c r="D3358">
        <v>0</v>
      </c>
      <c r="E3358">
        <v>510</v>
      </c>
      <c r="F3358" s="2">
        <v>5000</v>
      </c>
      <c r="G3358">
        <v>7</v>
      </c>
      <c r="H3358">
        <v>0</v>
      </c>
      <c r="I3358" t="s">
        <v>22</v>
      </c>
      <c r="J3358" t="s">
        <v>22</v>
      </c>
    </row>
    <row r="3359" spans="1:10" x14ac:dyDescent="0.25">
      <c r="A3359" t="s">
        <v>2123</v>
      </c>
      <c r="B3359" t="s">
        <v>457</v>
      </c>
      <c r="C3359">
        <v>338</v>
      </c>
      <c r="D3359">
        <v>100</v>
      </c>
      <c r="E3359">
        <v>0</v>
      </c>
      <c r="F3359" s="2">
        <v>5000</v>
      </c>
      <c r="G3359" s="2">
        <v>8100</v>
      </c>
      <c r="H3359">
        <v>0</v>
      </c>
      <c r="I3359" t="s">
        <v>22</v>
      </c>
      <c r="J3359" t="s">
        <v>22</v>
      </c>
    </row>
    <row r="3360" spans="1:10" x14ac:dyDescent="0.25">
      <c r="A3360" t="s">
        <v>2124</v>
      </c>
      <c r="B3360" t="s">
        <v>459</v>
      </c>
      <c r="C3360">
        <v>0</v>
      </c>
      <c r="D3360">
        <v>0</v>
      </c>
      <c r="E3360">
        <v>0</v>
      </c>
      <c r="F3360">
        <v>0</v>
      </c>
      <c r="G3360">
        <v>0</v>
      </c>
      <c r="H3360">
        <v>0</v>
      </c>
      <c r="I3360" t="s">
        <v>22</v>
      </c>
      <c r="J3360" t="s">
        <v>22</v>
      </c>
    </row>
    <row r="3361" spans="1:10" x14ac:dyDescent="0.25">
      <c r="A3361" t="s">
        <v>2125</v>
      </c>
      <c r="B3361" t="s">
        <v>461</v>
      </c>
      <c r="C3361">
        <v>0</v>
      </c>
      <c r="D3361">
        <v>0</v>
      </c>
      <c r="E3361">
        <v>85</v>
      </c>
      <c r="F3361">
        <v>0</v>
      </c>
      <c r="G3361" s="2">
        <v>1817</v>
      </c>
      <c r="H3361">
        <v>0</v>
      </c>
      <c r="I3361" t="s">
        <v>22</v>
      </c>
      <c r="J3361" t="s">
        <v>22</v>
      </c>
    </row>
    <row r="3362" spans="1:10" x14ac:dyDescent="0.25">
      <c r="A3362" t="s">
        <v>2126</v>
      </c>
      <c r="B3362" t="s">
        <v>471</v>
      </c>
      <c r="C3362">
        <v>865</v>
      </c>
      <c r="D3362">
        <v>893</v>
      </c>
      <c r="E3362" s="2">
        <v>2103</v>
      </c>
      <c r="F3362" s="2">
        <v>2000</v>
      </c>
      <c r="G3362" s="2">
        <v>1110</v>
      </c>
      <c r="H3362">
        <v>0</v>
      </c>
      <c r="I3362" t="s">
        <v>22</v>
      </c>
      <c r="J3362" t="s">
        <v>22</v>
      </c>
    </row>
    <row r="3363" spans="1:10" x14ac:dyDescent="0.25">
      <c r="A3363" t="s">
        <v>2127</v>
      </c>
      <c r="B3363" t="s">
        <v>2128</v>
      </c>
      <c r="C3363">
        <v>0</v>
      </c>
      <c r="D3363">
        <v>0</v>
      </c>
      <c r="E3363">
        <v>0</v>
      </c>
      <c r="F3363" s="2">
        <v>300000</v>
      </c>
      <c r="G3363">
        <v>0</v>
      </c>
      <c r="H3363">
        <v>0</v>
      </c>
      <c r="I3363" t="s">
        <v>22</v>
      </c>
      <c r="J3363" t="s">
        <v>22</v>
      </c>
    </row>
    <row r="3364" spans="1:10" x14ac:dyDescent="0.25">
      <c r="A3364" t="s">
        <v>2129</v>
      </c>
      <c r="B3364" t="s">
        <v>473</v>
      </c>
      <c r="C3364">
        <v>439</v>
      </c>
      <c r="D3364">
        <v>915</v>
      </c>
      <c r="E3364" s="2">
        <v>1169</v>
      </c>
      <c r="F3364" s="2">
        <v>2500</v>
      </c>
      <c r="G3364">
        <v>791</v>
      </c>
      <c r="H3364">
        <v>0</v>
      </c>
      <c r="I3364" t="s">
        <v>22</v>
      </c>
      <c r="J3364" t="s">
        <v>22</v>
      </c>
    </row>
    <row r="3365" spans="1:10" x14ac:dyDescent="0.25">
      <c r="A3365" t="s">
        <v>2130</v>
      </c>
      <c r="B3365" t="s">
        <v>2131</v>
      </c>
      <c r="C3365">
        <v>0</v>
      </c>
      <c r="D3365">
        <v>218</v>
      </c>
      <c r="E3365">
        <v>0</v>
      </c>
      <c r="F3365" s="2">
        <v>1000</v>
      </c>
      <c r="G3365">
        <v>913</v>
      </c>
      <c r="H3365">
        <v>0</v>
      </c>
      <c r="I3365" t="s">
        <v>22</v>
      </c>
      <c r="J3365" t="s">
        <v>22</v>
      </c>
    </row>
    <row r="3366" spans="1:10" x14ac:dyDescent="0.25">
      <c r="A3366" t="s">
        <v>2132</v>
      </c>
      <c r="B3366" t="s">
        <v>475</v>
      </c>
      <c r="C3366" s="2">
        <v>5300</v>
      </c>
      <c r="D3366">
        <v>697</v>
      </c>
      <c r="E3366" s="2">
        <v>1954</v>
      </c>
      <c r="F3366" s="2">
        <v>2000</v>
      </c>
      <c r="G3366">
        <v>192</v>
      </c>
      <c r="H3366">
        <v>0</v>
      </c>
      <c r="I3366" t="s">
        <v>22</v>
      </c>
      <c r="J3366" t="s">
        <v>22</v>
      </c>
    </row>
    <row r="3367" spans="1:10" x14ac:dyDescent="0.25">
      <c r="A3367" t="s">
        <v>2133</v>
      </c>
      <c r="B3367" t="s">
        <v>762</v>
      </c>
      <c r="C3367" s="2">
        <v>12728</v>
      </c>
      <c r="D3367">
        <v>0</v>
      </c>
      <c r="E3367" s="2">
        <v>17200</v>
      </c>
      <c r="F3367" s="2">
        <v>40000</v>
      </c>
      <c r="G3367" s="2">
        <v>8864</v>
      </c>
      <c r="H3367">
        <v>0</v>
      </c>
      <c r="I3367" t="s">
        <v>22</v>
      </c>
      <c r="J3367" t="s">
        <v>22</v>
      </c>
    </row>
    <row r="3368" spans="1:10" x14ac:dyDescent="0.25">
      <c r="C3368" t="s">
        <v>108</v>
      </c>
      <c r="D3368" t="s">
        <v>108</v>
      </c>
      <c r="E3368" t="s">
        <v>108</v>
      </c>
      <c r="F3368" t="s">
        <v>108</v>
      </c>
      <c r="G3368" t="s">
        <v>108</v>
      </c>
    </row>
    <row r="3369" spans="1:10" x14ac:dyDescent="0.25">
      <c r="H3369" t="s">
        <v>22</v>
      </c>
      <c r="I3369" t="s">
        <v>22</v>
      </c>
      <c r="J3369" t="s">
        <v>22</v>
      </c>
    </row>
    <row r="3370" spans="1:10" x14ac:dyDescent="0.25">
      <c r="A3370" t="s">
        <v>109</v>
      </c>
    </row>
    <row r="3371" spans="1:10" x14ac:dyDescent="0.25">
      <c r="B3371" t="s">
        <v>478</v>
      </c>
      <c r="C3371" s="2">
        <v>41183</v>
      </c>
      <c r="D3371" s="2">
        <v>19461</v>
      </c>
      <c r="E3371" s="2">
        <v>40744</v>
      </c>
      <c r="F3371" s="2">
        <v>379074</v>
      </c>
      <c r="G3371" s="2">
        <v>37926</v>
      </c>
      <c r="H3371">
        <v>0</v>
      </c>
    </row>
    <row r="3373" spans="1:10" x14ac:dyDescent="0.25">
      <c r="A3373" t="s">
        <v>489</v>
      </c>
    </row>
    <row r="3374" spans="1:10" x14ac:dyDescent="0.25">
      <c r="A3374" t="s">
        <v>18</v>
      </c>
    </row>
    <row r="3375" spans="1:10" x14ac:dyDescent="0.25">
      <c r="A3375" t="s">
        <v>2134</v>
      </c>
      <c r="B3375" t="s">
        <v>491</v>
      </c>
      <c r="C3375" s="2">
        <v>2382</v>
      </c>
      <c r="D3375" s="2">
        <v>1328</v>
      </c>
      <c r="E3375" s="2">
        <v>1643</v>
      </c>
      <c r="F3375" s="2">
        <v>1800</v>
      </c>
      <c r="G3375" s="2">
        <v>1591</v>
      </c>
      <c r="H3375">
        <v>0</v>
      </c>
      <c r="I3375" t="s">
        <v>22</v>
      </c>
      <c r="J3375" t="s">
        <v>22</v>
      </c>
    </row>
    <row r="3376" spans="1:10" x14ac:dyDescent="0.25">
      <c r="A3376" t="s">
        <v>2135</v>
      </c>
      <c r="B3376" t="s">
        <v>493</v>
      </c>
      <c r="C3376">
        <v>0</v>
      </c>
      <c r="D3376">
        <v>0</v>
      </c>
      <c r="E3376">
        <v>0</v>
      </c>
      <c r="F3376">
        <v>0</v>
      </c>
      <c r="G3376">
        <v>0</v>
      </c>
      <c r="H3376">
        <v>0</v>
      </c>
      <c r="I3376" t="s">
        <v>22</v>
      </c>
      <c r="J3376" t="s">
        <v>22</v>
      </c>
    </row>
    <row r="3377" spans="1:10" x14ac:dyDescent="0.25">
      <c r="A3377" t="s">
        <v>2136</v>
      </c>
      <c r="B3377" t="s">
        <v>489</v>
      </c>
      <c r="C3377" s="2">
        <v>6360</v>
      </c>
      <c r="D3377" s="2">
        <v>1992</v>
      </c>
      <c r="E3377">
        <v>766</v>
      </c>
      <c r="F3377" s="2">
        <v>3500</v>
      </c>
      <c r="G3377" s="2">
        <v>1017</v>
      </c>
      <c r="H3377">
        <v>0</v>
      </c>
      <c r="I3377" t="s">
        <v>22</v>
      </c>
      <c r="J3377" t="s">
        <v>22</v>
      </c>
    </row>
    <row r="3378" spans="1:10" x14ac:dyDescent="0.25">
      <c r="A3378" t="s">
        <v>2137</v>
      </c>
      <c r="B3378" t="s">
        <v>496</v>
      </c>
      <c r="C3378" s="2">
        <v>1597</v>
      </c>
      <c r="D3378">
        <v>945</v>
      </c>
      <c r="E3378">
        <v>600</v>
      </c>
      <c r="F3378" s="2">
        <v>1500</v>
      </c>
      <c r="G3378">
        <v>201</v>
      </c>
      <c r="H3378">
        <v>0</v>
      </c>
      <c r="I3378" t="s">
        <v>22</v>
      </c>
      <c r="J3378" t="s">
        <v>22</v>
      </c>
    </row>
    <row r="3379" spans="1:10" x14ac:dyDescent="0.25">
      <c r="A3379" t="s">
        <v>2138</v>
      </c>
      <c r="B3379" t="s">
        <v>498</v>
      </c>
      <c r="C3379">
        <v>0</v>
      </c>
      <c r="D3379">
        <v>0</v>
      </c>
      <c r="E3379">
        <v>0</v>
      </c>
      <c r="F3379">
        <v>0</v>
      </c>
      <c r="G3379">
        <v>0</v>
      </c>
      <c r="H3379">
        <v>0</v>
      </c>
      <c r="I3379" t="s">
        <v>22</v>
      </c>
      <c r="J3379" t="s">
        <v>22</v>
      </c>
    </row>
    <row r="3380" spans="1:10" x14ac:dyDescent="0.25">
      <c r="A3380" t="s">
        <v>2139</v>
      </c>
      <c r="B3380" t="s">
        <v>500</v>
      </c>
      <c r="C3380">
        <v>0</v>
      </c>
      <c r="D3380">
        <v>0</v>
      </c>
      <c r="E3380">
        <v>0</v>
      </c>
      <c r="F3380">
        <v>0</v>
      </c>
      <c r="G3380">
        <v>0</v>
      </c>
      <c r="H3380">
        <v>0</v>
      </c>
      <c r="I3380" t="s">
        <v>22</v>
      </c>
      <c r="J3380" t="s">
        <v>22</v>
      </c>
    </row>
    <row r="3381" spans="1:10" x14ac:dyDescent="0.25">
      <c r="C3381" t="s">
        <v>108</v>
      </c>
      <c r="D3381" t="s">
        <v>108</v>
      </c>
      <c r="E3381" t="s">
        <v>108</v>
      </c>
      <c r="F3381" t="s">
        <v>108</v>
      </c>
      <c r="G3381" t="s">
        <v>108</v>
      </c>
    </row>
    <row r="3382" spans="1:10" x14ac:dyDescent="0.25">
      <c r="H3382" t="s">
        <v>22</v>
      </c>
      <c r="I3382" t="s">
        <v>22</v>
      </c>
      <c r="J3382" t="s">
        <v>22</v>
      </c>
    </row>
    <row r="3383" spans="1:10" x14ac:dyDescent="0.25">
      <c r="A3383" t="s">
        <v>109</v>
      </c>
    </row>
    <row r="3384" spans="1:10" x14ac:dyDescent="0.25">
      <c r="B3384" t="s">
        <v>489</v>
      </c>
      <c r="C3384" s="2">
        <v>10339</v>
      </c>
      <c r="D3384" s="2">
        <v>4265</v>
      </c>
      <c r="E3384" s="2">
        <v>3009</v>
      </c>
      <c r="F3384" s="2">
        <v>6800</v>
      </c>
      <c r="G3384" s="2">
        <v>2808</v>
      </c>
      <c r="H3384">
        <v>0</v>
      </c>
    </row>
    <row r="3386" spans="1:10" x14ac:dyDescent="0.25">
      <c r="A3386" t="s">
        <v>501</v>
      </c>
    </row>
    <row r="3387" spans="1:10" x14ac:dyDescent="0.25">
      <c r="A3387" t="s">
        <v>18</v>
      </c>
    </row>
    <row r="3388" spans="1:10" x14ac:dyDescent="0.25">
      <c r="A3388" t="s">
        <v>2140</v>
      </c>
      <c r="B3388" t="s">
        <v>503</v>
      </c>
      <c r="C3388" s="2">
        <v>11852</v>
      </c>
      <c r="D3388" s="2">
        <v>71082</v>
      </c>
      <c r="E3388" s="2">
        <v>370251</v>
      </c>
      <c r="F3388" s="2">
        <v>330000</v>
      </c>
      <c r="G3388" s="2">
        <v>242447</v>
      </c>
      <c r="H3388">
        <v>0</v>
      </c>
      <c r="I3388" t="s">
        <v>22</v>
      </c>
      <c r="J3388" t="s">
        <v>22</v>
      </c>
    </row>
    <row r="3389" spans="1:10" x14ac:dyDescent="0.25">
      <c r="A3389" t="s">
        <v>2141</v>
      </c>
      <c r="B3389" t="s">
        <v>507</v>
      </c>
      <c r="C3389">
        <v>0</v>
      </c>
      <c r="D3389">
        <v>0</v>
      </c>
      <c r="E3389">
        <v>0</v>
      </c>
      <c r="F3389">
        <v>0</v>
      </c>
      <c r="G3389">
        <v>0</v>
      </c>
      <c r="H3389">
        <v>0</v>
      </c>
      <c r="I3389" t="s">
        <v>22</v>
      </c>
      <c r="J3389" t="s">
        <v>22</v>
      </c>
    </row>
    <row r="3390" spans="1:10" x14ac:dyDescent="0.25">
      <c r="A3390" t="s">
        <v>2142</v>
      </c>
      <c r="B3390" t="s">
        <v>509</v>
      </c>
      <c r="C3390" s="2">
        <v>16999</v>
      </c>
      <c r="D3390">
        <v>0</v>
      </c>
      <c r="E3390" s="2">
        <v>26943</v>
      </c>
      <c r="F3390" s="2">
        <v>30000</v>
      </c>
      <c r="G3390" s="2">
        <v>1317</v>
      </c>
      <c r="H3390">
        <v>0</v>
      </c>
      <c r="I3390" t="s">
        <v>22</v>
      </c>
      <c r="J3390" t="s">
        <v>22</v>
      </c>
    </row>
    <row r="3391" spans="1:10" x14ac:dyDescent="0.25">
      <c r="A3391" t="s">
        <v>2143</v>
      </c>
      <c r="B3391" t="s">
        <v>519</v>
      </c>
      <c r="C3391">
        <v>0</v>
      </c>
      <c r="D3391" s="2">
        <v>1250</v>
      </c>
      <c r="E3391">
        <v>0</v>
      </c>
      <c r="F3391" s="2">
        <v>3500</v>
      </c>
      <c r="G3391">
        <v>0</v>
      </c>
      <c r="H3391">
        <v>0</v>
      </c>
      <c r="I3391" t="s">
        <v>22</v>
      </c>
      <c r="J3391" t="s">
        <v>22</v>
      </c>
    </row>
    <row r="3392" spans="1:10" x14ac:dyDescent="0.25">
      <c r="A3392" t="s">
        <v>2144</v>
      </c>
      <c r="B3392" t="s">
        <v>521</v>
      </c>
      <c r="C3392">
        <v>0</v>
      </c>
      <c r="D3392">
        <v>0</v>
      </c>
      <c r="E3392">
        <v>0</v>
      </c>
      <c r="F3392" s="2">
        <v>3500</v>
      </c>
      <c r="G3392">
        <v>0</v>
      </c>
      <c r="H3392">
        <v>0</v>
      </c>
      <c r="I3392" t="s">
        <v>22</v>
      </c>
      <c r="J3392" t="s">
        <v>22</v>
      </c>
    </row>
    <row r="3393" spans="1:10" x14ac:dyDescent="0.25">
      <c r="C3393" t="s">
        <v>108</v>
      </c>
      <c r="D3393" t="s">
        <v>108</v>
      </c>
      <c r="E3393" t="s">
        <v>108</v>
      </c>
      <c r="F3393" t="s">
        <v>108</v>
      </c>
      <c r="G3393" t="s">
        <v>108</v>
      </c>
    </row>
    <row r="3394" spans="1:10" x14ac:dyDescent="0.25">
      <c r="H3394" t="s">
        <v>22</v>
      </c>
      <c r="I3394" t="s">
        <v>22</v>
      </c>
      <c r="J3394" t="s">
        <v>22</v>
      </c>
    </row>
    <row r="3395" spans="1:10" x14ac:dyDescent="0.25">
      <c r="A3395" t="s">
        <v>109</v>
      </c>
    </row>
    <row r="3396" spans="1:10" x14ac:dyDescent="0.25">
      <c r="B3396" t="s">
        <v>501</v>
      </c>
      <c r="C3396" s="2">
        <v>28851</v>
      </c>
      <c r="D3396" s="2">
        <v>72332</v>
      </c>
      <c r="E3396" s="2">
        <v>397195</v>
      </c>
      <c r="F3396" s="2">
        <v>367000</v>
      </c>
      <c r="G3396" s="2">
        <v>243763</v>
      </c>
      <c r="H3396">
        <v>0</v>
      </c>
    </row>
    <row r="3398" spans="1:10" x14ac:dyDescent="0.25">
      <c r="A3398" t="s">
        <v>524</v>
      </c>
      <c r="B3398" t="s">
        <v>525</v>
      </c>
    </row>
    <row r="3399" spans="1:10" x14ac:dyDescent="0.25">
      <c r="A3399" t="s">
        <v>18</v>
      </c>
      <c r="B3399" t="s">
        <v>526</v>
      </c>
    </row>
    <row r="3400" spans="1:10" x14ac:dyDescent="0.25">
      <c r="A3400" t="s">
        <v>2145</v>
      </c>
      <c r="B3400" t="s">
        <v>530</v>
      </c>
      <c r="C3400">
        <v>0</v>
      </c>
      <c r="D3400">
        <v>0</v>
      </c>
      <c r="E3400" s="2">
        <v>52893</v>
      </c>
      <c r="F3400">
        <v>0</v>
      </c>
      <c r="G3400">
        <v>0</v>
      </c>
      <c r="H3400">
        <v>0</v>
      </c>
      <c r="I3400" t="s">
        <v>22</v>
      </c>
      <c r="J3400" t="s">
        <v>22</v>
      </c>
    </row>
    <row r="3401" spans="1:10" x14ac:dyDescent="0.25">
      <c r="A3401" t="s">
        <v>2146</v>
      </c>
      <c r="B3401" t="s">
        <v>1282</v>
      </c>
      <c r="C3401">
        <v>0</v>
      </c>
      <c r="D3401">
        <v>0</v>
      </c>
      <c r="E3401" s="2">
        <v>7468</v>
      </c>
      <c r="F3401">
        <v>0</v>
      </c>
      <c r="G3401">
        <v>0</v>
      </c>
      <c r="H3401">
        <v>0</v>
      </c>
      <c r="I3401" t="s">
        <v>22</v>
      </c>
      <c r="J3401" t="s">
        <v>22</v>
      </c>
    </row>
    <row r="3402" spans="1:10" x14ac:dyDescent="0.25">
      <c r="A3402" t="s">
        <v>2147</v>
      </c>
      <c r="B3402" t="s">
        <v>660</v>
      </c>
      <c r="C3402">
        <v>0</v>
      </c>
      <c r="D3402">
        <v>0</v>
      </c>
      <c r="E3402">
        <v>0</v>
      </c>
      <c r="F3402">
        <v>0</v>
      </c>
      <c r="G3402">
        <v>0</v>
      </c>
      <c r="H3402">
        <v>0</v>
      </c>
      <c r="I3402" t="s">
        <v>22</v>
      </c>
      <c r="J3402" t="s">
        <v>22</v>
      </c>
    </row>
    <row r="3403" spans="1:10" x14ac:dyDescent="0.25">
      <c r="A3403" t="s">
        <v>2148</v>
      </c>
      <c r="B3403" t="s">
        <v>534</v>
      </c>
      <c r="C3403">
        <v>0</v>
      </c>
      <c r="D3403">
        <v>0</v>
      </c>
      <c r="E3403">
        <v>0</v>
      </c>
      <c r="F3403">
        <v>0</v>
      </c>
      <c r="G3403">
        <v>0</v>
      </c>
      <c r="H3403">
        <v>0</v>
      </c>
      <c r="I3403" t="s">
        <v>22</v>
      </c>
      <c r="J3403" t="s">
        <v>22</v>
      </c>
    </row>
    <row r="3404" spans="1:10" x14ac:dyDescent="0.25">
      <c r="C3404" t="s">
        <v>108</v>
      </c>
      <c r="D3404" t="s">
        <v>108</v>
      </c>
      <c r="E3404" t="s">
        <v>108</v>
      </c>
      <c r="F3404" t="s">
        <v>108</v>
      </c>
      <c r="G3404" t="s">
        <v>108</v>
      </c>
    </row>
    <row r="3405" spans="1:10" x14ac:dyDescent="0.25">
      <c r="H3405" t="s">
        <v>22</v>
      </c>
      <c r="I3405" t="s">
        <v>22</v>
      </c>
      <c r="J3405" t="s">
        <v>22</v>
      </c>
    </row>
    <row r="3406" spans="1:10" x14ac:dyDescent="0.25">
      <c r="A3406" t="s">
        <v>109</v>
      </c>
    </row>
    <row r="3407" spans="1:10" x14ac:dyDescent="0.25">
      <c r="B3407" t="s">
        <v>530</v>
      </c>
      <c r="C3407">
        <v>0</v>
      </c>
      <c r="D3407">
        <v>0</v>
      </c>
      <c r="E3407" s="2">
        <v>60361</v>
      </c>
      <c r="F3407">
        <v>0</v>
      </c>
      <c r="G3407">
        <v>0</v>
      </c>
      <c r="H3407">
        <v>0</v>
      </c>
    </row>
    <row r="3408" spans="1:10" x14ac:dyDescent="0.25">
      <c r="A3408" t="s">
        <v>18</v>
      </c>
      <c r="B3408" t="s">
        <v>19</v>
      </c>
      <c r="C3408" t="s">
        <v>20</v>
      </c>
      <c r="D3408" t="s">
        <v>21</v>
      </c>
      <c r="E3408" t="s">
        <v>26</v>
      </c>
    </row>
    <row r="3409" spans="1:10" x14ac:dyDescent="0.25">
      <c r="E3409" t="s">
        <v>339</v>
      </c>
      <c r="F3409" t="s">
        <v>23</v>
      </c>
      <c r="G3409" t="s">
        <v>24</v>
      </c>
      <c r="H3409" t="s">
        <v>20</v>
      </c>
      <c r="I3409" t="s">
        <v>24</v>
      </c>
      <c r="J3409" t="s">
        <v>20</v>
      </c>
    </row>
    <row r="3410" spans="1:10" x14ac:dyDescent="0.25">
      <c r="A3410" t="s">
        <v>109</v>
      </c>
    </row>
    <row r="3411" spans="1:10" x14ac:dyDescent="0.25">
      <c r="A3411">
        <v>59</v>
      </c>
      <c r="B3411" t="e">
        <f>-PUBLIC WORKS ADMIN</f>
        <v>#NAME?</v>
      </c>
      <c r="C3411" s="2">
        <v>419314</v>
      </c>
      <c r="D3411" s="2">
        <v>345253</v>
      </c>
      <c r="E3411" s="2">
        <v>951781</v>
      </c>
      <c r="F3411" s="2">
        <v>1388620</v>
      </c>
      <c r="G3411" s="2">
        <v>563669</v>
      </c>
      <c r="H3411">
        <v>0</v>
      </c>
    </row>
    <row r="3413" spans="1:10" x14ac:dyDescent="0.25">
      <c r="A3413" t="s">
        <v>1953</v>
      </c>
      <c r="B3413" t="s">
        <v>501</v>
      </c>
    </row>
    <row r="3414" spans="1:10" x14ac:dyDescent="0.25">
      <c r="A3414" t="s">
        <v>389</v>
      </c>
      <c r="B3414" t="s">
        <v>390</v>
      </c>
    </row>
    <row r="3415" spans="1:10" x14ac:dyDescent="0.25">
      <c r="A3415" t="s">
        <v>110</v>
      </c>
    </row>
    <row r="3416" spans="1:10" x14ac:dyDescent="0.25">
      <c r="A3416" s="1">
        <v>43991</v>
      </c>
      <c r="B3416" t="s">
        <v>1615</v>
      </c>
      <c r="D3416" t="s">
        <v>112</v>
      </c>
      <c r="E3416" t="s">
        <v>113</v>
      </c>
      <c r="F3416" t="s">
        <v>114</v>
      </c>
      <c r="J3416" t="s">
        <v>595</v>
      </c>
    </row>
    <row r="3417" spans="1:10" x14ac:dyDescent="0.25">
      <c r="D3417" t="s">
        <v>116</v>
      </c>
      <c r="E3417" t="s">
        <v>117</v>
      </c>
      <c r="F3417" t="s">
        <v>118</v>
      </c>
    </row>
    <row r="3418" spans="1:10" x14ac:dyDescent="0.25">
      <c r="D3418" t="s">
        <v>119</v>
      </c>
      <c r="E3418" t="s">
        <v>120</v>
      </c>
      <c r="F3418" t="s">
        <v>121</v>
      </c>
    </row>
    <row r="3419" spans="1:10" x14ac:dyDescent="0.25">
      <c r="A3419" t="s">
        <v>1906</v>
      </c>
      <c r="B3419" t="s">
        <v>1907</v>
      </c>
    </row>
    <row r="3420" spans="1:10" x14ac:dyDescent="0.25">
      <c r="A3420" t="s">
        <v>386</v>
      </c>
    </row>
    <row r="3421" spans="1:10" x14ac:dyDescent="0.25">
      <c r="F3421" t="s">
        <v>2</v>
      </c>
      <c r="G3421" t="s">
        <v>3</v>
      </c>
      <c r="H3421" t="s">
        <v>4</v>
      </c>
      <c r="I3421" t="s">
        <v>5</v>
      </c>
      <c r="J3421" t="s">
        <v>6</v>
      </c>
    </row>
    <row r="3422" spans="1:10" x14ac:dyDescent="0.25">
      <c r="C3422" t="s">
        <v>7</v>
      </c>
      <c r="D3422" t="s">
        <v>8</v>
      </c>
      <c r="E3422" t="s">
        <v>9</v>
      </c>
      <c r="F3422" t="s">
        <v>10</v>
      </c>
      <c r="G3422" t="s">
        <v>124</v>
      </c>
      <c r="H3422" t="s">
        <v>12</v>
      </c>
      <c r="I3422" t="s">
        <v>13</v>
      </c>
      <c r="J3422" t="s">
        <v>14</v>
      </c>
    </row>
    <row r="3423" spans="1:10" x14ac:dyDescent="0.25">
      <c r="C3423" t="s">
        <v>15</v>
      </c>
      <c r="D3423" t="s">
        <v>15</v>
      </c>
      <c r="E3423" t="s">
        <v>15</v>
      </c>
      <c r="F3423" t="s">
        <v>16</v>
      </c>
      <c r="G3423" t="s">
        <v>15</v>
      </c>
      <c r="H3423" t="s">
        <v>17</v>
      </c>
      <c r="I3423" t="s">
        <v>16</v>
      </c>
      <c r="J3423" t="s">
        <v>16</v>
      </c>
    </row>
    <row r="3424" spans="1:10" x14ac:dyDescent="0.25">
      <c r="A3424" t="s">
        <v>18</v>
      </c>
      <c r="B3424" t="s">
        <v>19</v>
      </c>
      <c r="C3424" t="s">
        <v>20</v>
      </c>
      <c r="D3424" t="s">
        <v>21</v>
      </c>
      <c r="E3424" t="s">
        <v>22</v>
      </c>
      <c r="F3424" t="s">
        <v>23</v>
      </c>
      <c r="G3424" t="s">
        <v>24</v>
      </c>
      <c r="H3424" t="s">
        <v>20</v>
      </c>
      <c r="I3424" t="s">
        <v>24</v>
      </c>
      <c r="J3424" t="s">
        <v>20</v>
      </c>
    </row>
    <row r="3426" spans="1:10" x14ac:dyDescent="0.25">
      <c r="A3426" t="s">
        <v>391</v>
      </c>
      <c r="B3426" t="s">
        <v>392</v>
      </c>
    </row>
    <row r="3427" spans="1:10" x14ac:dyDescent="0.25">
      <c r="A3427" t="s">
        <v>18</v>
      </c>
      <c r="B3427" t="s">
        <v>228</v>
      </c>
    </row>
    <row r="3428" spans="1:10" x14ac:dyDescent="0.25">
      <c r="A3428" t="s">
        <v>2149</v>
      </c>
      <c r="B3428" t="s">
        <v>569</v>
      </c>
      <c r="C3428" s="2">
        <v>5041</v>
      </c>
      <c r="D3428" s="2">
        <v>1461</v>
      </c>
      <c r="E3428">
        <v>0</v>
      </c>
      <c r="F3428">
        <v>0</v>
      </c>
      <c r="G3428">
        <v>0</v>
      </c>
      <c r="H3428">
        <v>0</v>
      </c>
      <c r="I3428" t="s">
        <v>22</v>
      </c>
      <c r="J3428" t="s">
        <v>22</v>
      </c>
    </row>
    <row r="3429" spans="1:10" x14ac:dyDescent="0.25">
      <c r="A3429" t="s">
        <v>2150</v>
      </c>
      <c r="B3429" t="s">
        <v>396</v>
      </c>
      <c r="C3429">
        <v>214</v>
      </c>
      <c r="D3429">
        <v>134</v>
      </c>
      <c r="E3429">
        <v>944</v>
      </c>
      <c r="F3429" s="2">
        <v>2016</v>
      </c>
      <c r="G3429">
        <v>64</v>
      </c>
      <c r="H3429">
        <v>0</v>
      </c>
      <c r="I3429" t="s">
        <v>22</v>
      </c>
      <c r="J3429" t="s">
        <v>22</v>
      </c>
    </row>
    <row r="3430" spans="1:10" x14ac:dyDescent="0.25">
      <c r="A3430" t="s">
        <v>2151</v>
      </c>
      <c r="B3430" t="s">
        <v>398</v>
      </c>
      <c r="C3430" s="2">
        <v>34622</v>
      </c>
      <c r="D3430" s="2">
        <v>38440</v>
      </c>
      <c r="E3430" s="2">
        <v>31276</v>
      </c>
      <c r="F3430" s="2">
        <v>31050</v>
      </c>
      <c r="G3430" s="2">
        <v>21727</v>
      </c>
      <c r="H3430">
        <v>0</v>
      </c>
      <c r="I3430" t="s">
        <v>22</v>
      </c>
      <c r="J3430" t="s">
        <v>22</v>
      </c>
    </row>
    <row r="3431" spans="1:10" x14ac:dyDescent="0.25">
      <c r="A3431" t="s">
        <v>2152</v>
      </c>
      <c r="B3431" t="s">
        <v>400</v>
      </c>
      <c r="C3431" s="2">
        <v>37316</v>
      </c>
      <c r="D3431" s="2">
        <v>42105</v>
      </c>
      <c r="E3431" s="2">
        <v>36492</v>
      </c>
      <c r="F3431" s="2">
        <v>38519</v>
      </c>
      <c r="G3431" s="2">
        <v>23676</v>
      </c>
      <c r="H3431">
        <v>0</v>
      </c>
      <c r="I3431" t="s">
        <v>22</v>
      </c>
      <c r="J3431" t="s">
        <v>22</v>
      </c>
    </row>
    <row r="3432" spans="1:10" x14ac:dyDescent="0.25">
      <c r="A3432" t="s">
        <v>2153</v>
      </c>
      <c r="B3432" t="s">
        <v>574</v>
      </c>
      <c r="C3432" s="2">
        <v>134933</v>
      </c>
      <c r="D3432" s="2">
        <v>123363</v>
      </c>
      <c r="E3432" s="2">
        <v>93367</v>
      </c>
      <c r="F3432" s="2">
        <v>102950</v>
      </c>
      <c r="G3432" s="2">
        <v>63884</v>
      </c>
      <c r="H3432">
        <v>0</v>
      </c>
      <c r="I3432" t="s">
        <v>22</v>
      </c>
      <c r="J3432" t="s">
        <v>22</v>
      </c>
    </row>
    <row r="3433" spans="1:10" x14ac:dyDescent="0.25">
      <c r="A3433" t="s">
        <v>2154</v>
      </c>
      <c r="B3433" t="s">
        <v>404</v>
      </c>
      <c r="C3433" s="2">
        <v>6800</v>
      </c>
      <c r="D3433" s="2">
        <v>6329</v>
      </c>
      <c r="E3433" s="2">
        <v>5273</v>
      </c>
      <c r="F3433" s="2">
        <v>5232</v>
      </c>
      <c r="G3433" s="2">
        <v>3126</v>
      </c>
      <c r="H3433">
        <v>0</v>
      </c>
      <c r="I3433" t="s">
        <v>22</v>
      </c>
      <c r="J3433" t="s">
        <v>22</v>
      </c>
    </row>
    <row r="3434" spans="1:10" x14ac:dyDescent="0.25">
      <c r="A3434" t="s">
        <v>2155</v>
      </c>
      <c r="B3434" t="s">
        <v>406</v>
      </c>
      <c r="C3434" s="2">
        <v>8935</v>
      </c>
      <c r="D3434" s="2">
        <v>8056</v>
      </c>
      <c r="E3434" s="2">
        <v>9584</v>
      </c>
      <c r="F3434" s="2">
        <v>10542</v>
      </c>
      <c r="G3434" s="2">
        <v>9609</v>
      </c>
      <c r="H3434">
        <v>0</v>
      </c>
      <c r="I3434" t="s">
        <v>22</v>
      </c>
      <c r="J3434" t="s">
        <v>22</v>
      </c>
    </row>
    <row r="3435" spans="1:10" x14ac:dyDescent="0.25">
      <c r="A3435" t="s">
        <v>2156</v>
      </c>
      <c r="B3435" t="s">
        <v>424</v>
      </c>
      <c r="C3435" s="2">
        <v>2457</v>
      </c>
      <c r="D3435" s="2">
        <v>1903</v>
      </c>
      <c r="E3435" s="2">
        <v>1211</v>
      </c>
      <c r="F3435" s="2">
        <v>1468</v>
      </c>
      <c r="G3435" s="2">
        <v>1453</v>
      </c>
      <c r="H3435">
        <v>0</v>
      </c>
      <c r="I3435" t="s">
        <v>22</v>
      </c>
      <c r="J3435" t="s">
        <v>22</v>
      </c>
    </row>
    <row r="3436" spans="1:10" x14ac:dyDescent="0.25">
      <c r="A3436" t="s">
        <v>2157</v>
      </c>
      <c r="B3436" t="s">
        <v>426</v>
      </c>
      <c r="C3436" s="2">
        <v>4049</v>
      </c>
      <c r="D3436" s="2">
        <v>3239</v>
      </c>
      <c r="E3436" s="2">
        <v>2834</v>
      </c>
      <c r="F3436" s="2">
        <v>3239</v>
      </c>
      <c r="G3436" s="2">
        <v>2907</v>
      </c>
      <c r="H3436">
        <v>0</v>
      </c>
      <c r="I3436" t="s">
        <v>22</v>
      </c>
      <c r="J3436" t="s">
        <v>22</v>
      </c>
    </row>
    <row r="3437" spans="1:10" x14ac:dyDescent="0.25">
      <c r="A3437" t="s">
        <v>2158</v>
      </c>
      <c r="B3437" t="s">
        <v>1204</v>
      </c>
      <c r="C3437" s="2">
        <v>1800</v>
      </c>
      <c r="D3437" s="2">
        <v>1620</v>
      </c>
      <c r="E3437" s="2">
        <v>1440</v>
      </c>
      <c r="F3437" s="2">
        <v>1440</v>
      </c>
      <c r="G3437" s="2">
        <v>1260</v>
      </c>
      <c r="H3437">
        <v>0</v>
      </c>
      <c r="I3437" t="s">
        <v>22</v>
      </c>
      <c r="J3437" t="s">
        <v>22</v>
      </c>
    </row>
    <row r="3438" spans="1:10" x14ac:dyDescent="0.25">
      <c r="A3438" t="s">
        <v>2159</v>
      </c>
      <c r="B3438" t="s">
        <v>428</v>
      </c>
      <c r="C3438" s="2">
        <v>1731</v>
      </c>
      <c r="D3438">
        <v>808</v>
      </c>
      <c r="E3438">
        <v>600</v>
      </c>
      <c r="F3438">
        <v>600</v>
      </c>
      <c r="G3438">
        <v>415</v>
      </c>
      <c r="H3438">
        <v>0</v>
      </c>
      <c r="I3438" t="s">
        <v>22</v>
      </c>
      <c r="J3438" t="s">
        <v>22</v>
      </c>
    </row>
    <row r="3439" spans="1:10" x14ac:dyDescent="0.25">
      <c r="A3439" t="s">
        <v>2160</v>
      </c>
      <c r="B3439" t="s">
        <v>430</v>
      </c>
      <c r="C3439">
        <v>346</v>
      </c>
      <c r="D3439">
        <v>346</v>
      </c>
      <c r="E3439">
        <v>277</v>
      </c>
      <c r="F3439">
        <v>277</v>
      </c>
      <c r="G3439">
        <v>277</v>
      </c>
      <c r="H3439">
        <v>0</v>
      </c>
      <c r="I3439" t="s">
        <v>22</v>
      </c>
      <c r="J3439" t="s">
        <v>22</v>
      </c>
    </row>
    <row r="3440" spans="1:10" x14ac:dyDescent="0.25">
      <c r="A3440" t="s">
        <v>2161</v>
      </c>
      <c r="B3440" t="s">
        <v>432</v>
      </c>
      <c r="C3440" s="2">
        <v>27575</v>
      </c>
      <c r="D3440" s="2">
        <v>35229</v>
      </c>
      <c r="E3440" s="2">
        <v>21700</v>
      </c>
      <c r="F3440" s="2">
        <v>23000</v>
      </c>
      <c r="G3440" s="2">
        <v>15335</v>
      </c>
      <c r="H3440">
        <v>0</v>
      </c>
      <c r="I3440" t="s">
        <v>22</v>
      </c>
      <c r="J3440" t="s">
        <v>22</v>
      </c>
    </row>
    <row r="3441" spans="1:10" x14ac:dyDescent="0.25">
      <c r="A3441" t="s">
        <v>2162</v>
      </c>
      <c r="B3441" t="s">
        <v>434</v>
      </c>
      <c r="C3441">
        <v>0</v>
      </c>
      <c r="D3441">
        <v>0</v>
      </c>
      <c r="E3441">
        <v>0</v>
      </c>
      <c r="F3441">
        <v>0</v>
      </c>
      <c r="G3441">
        <v>0</v>
      </c>
      <c r="H3441">
        <v>0</v>
      </c>
      <c r="I3441" t="s">
        <v>22</v>
      </c>
      <c r="J3441" t="s">
        <v>22</v>
      </c>
    </row>
    <row r="3442" spans="1:10" x14ac:dyDescent="0.25">
      <c r="A3442" t="s">
        <v>2163</v>
      </c>
      <c r="B3442" t="s">
        <v>436</v>
      </c>
      <c r="C3442">
        <v>0</v>
      </c>
      <c r="D3442">
        <v>0</v>
      </c>
      <c r="E3442">
        <v>0</v>
      </c>
      <c r="F3442">
        <v>0</v>
      </c>
      <c r="G3442">
        <v>0</v>
      </c>
      <c r="H3442">
        <v>0</v>
      </c>
      <c r="I3442" t="s">
        <v>22</v>
      </c>
      <c r="J3442" t="s">
        <v>22</v>
      </c>
    </row>
    <row r="3443" spans="1:10" x14ac:dyDescent="0.25">
      <c r="A3443" t="s">
        <v>2164</v>
      </c>
      <c r="B3443" t="s">
        <v>607</v>
      </c>
      <c r="C3443">
        <v>0</v>
      </c>
      <c r="D3443">
        <v>0</v>
      </c>
      <c r="E3443">
        <v>0</v>
      </c>
      <c r="F3443">
        <v>0</v>
      </c>
      <c r="G3443">
        <v>0</v>
      </c>
      <c r="H3443">
        <v>0</v>
      </c>
      <c r="I3443" t="s">
        <v>22</v>
      </c>
      <c r="J3443" t="s">
        <v>22</v>
      </c>
    </row>
    <row r="3444" spans="1:10" x14ac:dyDescent="0.25">
      <c r="A3444" t="s">
        <v>2165</v>
      </c>
      <c r="B3444" t="s">
        <v>2166</v>
      </c>
      <c r="C3444" s="2">
        <v>67904</v>
      </c>
      <c r="D3444" s="2">
        <v>77185</v>
      </c>
      <c r="E3444" s="2">
        <v>77553</v>
      </c>
      <c r="F3444" s="2">
        <v>81431</v>
      </c>
      <c r="G3444" s="2">
        <v>56077</v>
      </c>
      <c r="H3444">
        <v>0</v>
      </c>
      <c r="I3444" t="s">
        <v>22</v>
      </c>
      <c r="J3444" t="s">
        <v>22</v>
      </c>
    </row>
    <row r="3445" spans="1:10" x14ac:dyDescent="0.25">
      <c r="A3445" t="s">
        <v>2167</v>
      </c>
      <c r="B3445" t="s">
        <v>2168</v>
      </c>
      <c r="C3445" s="2">
        <v>87164</v>
      </c>
      <c r="D3445" s="2">
        <v>72185</v>
      </c>
      <c r="E3445" s="2">
        <v>54600</v>
      </c>
      <c r="F3445" s="2">
        <v>57330</v>
      </c>
      <c r="G3445" s="2">
        <v>39369</v>
      </c>
      <c r="H3445">
        <v>0</v>
      </c>
      <c r="I3445" t="s">
        <v>22</v>
      </c>
      <c r="J3445" t="s">
        <v>22</v>
      </c>
    </row>
    <row r="3446" spans="1:10" x14ac:dyDescent="0.25">
      <c r="A3446" t="s">
        <v>2169</v>
      </c>
      <c r="B3446" t="s">
        <v>2170</v>
      </c>
      <c r="C3446" s="2">
        <v>262534</v>
      </c>
      <c r="D3446" s="2">
        <v>314206</v>
      </c>
      <c r="E3446" s="2">
        <v>248946</v>
      </c>
      <c r="F3446" s="2">
        <v>260289</v>
      </c>
      <c r="G3446" s="2">
        <v>168686</v>
      </c>
      <c r="H3446">
        <v>0</v>
      </c>
      <c r="I3446" t="s">
        <v>22</v>
      </c>
      <c r="J3446" t="s">
        <v>22</v>
      </c>
    </row>
    <row r="3447" spans="1:10" x14ac:dyDescent="0.25">
      <c r="A3447" t="s">
        <v>2171</v>
      </c>
      <c r="B3447" t="s">
        <v>2172</v>
      </c>
      <c r="C3447">
        <v>0</v>
      </c>
      <c r="D3447">
        <v>0</v>
      </c>
      <c r="E3447">
        <v>0</v>
      </c>
      <c r="F3447">
        <v>0</v>
      </c>
      <c r="G3447">
        <v>0</v>
      </c>
      <c r="H3447">
        <v>0</v>
      </c>
      <c r="I3447" t="s">
        <v>22</v>
      </c>
      <c r="J3447" t="s">
        <v>22</v>
      </c>
    </row>
    <row r="3448" spans="1:10" x14ac:dyDescent="0.25">
      <c r="A3448" t="s">
        <v>2173</v>
      </c>
      <c r="B3448" t="s">
        <v>1221</v>
      </c>
      <c r="C3448" s="2">
        <v>3150</v>
      </c>
      <c r="D3448" s="2">
        <v>3675</v>
      </c>
      <c r="E3448" s="2">
        <v>3075</v>
      </c>
      <c r="F3448">
        <v>0</v>
      </c>
      <c r="G3448">
        <v>975</v>
      </c>
      <c r="H3448">
        <v>0</v>
      </c>
      <c r="I3448" t="s">
        <v>22</v>
      </c>
      <c r="J3448" t="s">
        <v>22</v>
      </c>
    </row>
    <row r="3449" spans="1:10" x14ac:dyDescent="0.25">
      <c r="C3449" t="s">
        <v>108</v>
      </c>
      <c r="D3449" t="s">
        <v>108</v>
      </c>
      <c r="E3449" t="s">
        <v>108</v>
      </c>
      <c r="F3449" t="s">
        <v>108</v>
      </c>
      <c r="G3449" t="s">
        <v>108</v>
      </c>
    </row>
    <row r="3450" spans="1:10" x14ac:dyDescent="0.25">
      <c r="H3450" t="s">
        <v>22</v>
      </c>
      <c r="I3450" t="s">
        <v>22</v>
      </c>
      <c r="J3450" t="s">
        <v>22</v>
      </c>
    </row>
    <row r="3451" spans="1:10" x14ac:dyDescent="0.25">
      <c r="A3451" t="s">
        <v>109</v>
      </c>
    </row>
    <row r="3452" spans="1:10" x14ac:dyDescent="0.25">
      <c r="B3452" t="s">
        <v>441</v>
      </c>
      <c r="C3452" s="2">
        <v>686572</v>
      </c>
      <c r="D3452" s="2">
        <v>730283</v>
      </c>
      <c r="E3452" s="2">
        <v>589170</v>
      </c>
      <c r="F3452" s="2">
        <v>619383</v>
      </c>
      <c r="G3452" s="2">
        <v>408841</v>
      </c>
      <c r="H3452">
        <v>0</v>
      </c>
    </row>
    <row r="3454" spans="1:10" x14ac:dyDescent="0.25">
      <c r="A3454" t="s">
        <v>442</v>
      </c>
      <c r="B3454" t="s">
        <v>443</v>
      </c>
    </row>
    <row r="3455" spans="1:10" x14ac:dyDescent="0.25">
      <c r="A3455" t="s">
        <v>18</v>
      </c>
      <c r="B3455" t="s">
        <v>21</v>
      </c>
    </row>
    <row r="3456" spans="1:10" x14ac:dyDescent="0.25">
      <c r="A3456" t="s">
        <v>2174</v>
      </c>
      <c r="B3456" t="s">
        <v>445</v>
      </c>
      <c r="C3456" s="2">
        <v>14377</v>
      </c>
      <c r="D3456" s="2">
        <v>24730</v>
      </c>
      <c r="E3456" s="2">
        <v>19658</v>
      </c>
      <c r="F3456" s="2">
        <v>21623</v>
      </c>
      <c r="G3456" s="2">
        <v>20475</v>
      </c>
      <c r="H3456">
        <v>0</v>
      </c>
      <c r="I3456" t="s">
        <v>22</v>
      </c>
      <c r="J3456" t="s">
        <v>22</v>
      </c>
    </row>
    <row r="3457" spans="1:10" x14ac:dyDescent="0.25">
      <c r="A3457" t="s">
        <v>2175</v>
      </c>
      <c r="B3457" t="s">
        <v>447</v>
      </c>
      <c r="C3457" s="2">
        <v>11857</v>
      </c>
      <c r="D3457" s="2">
        <v>26044</v>
      </c>
      <c r="E3457" s="2">
        <v>2472</v>
      </c>
      <c r="F3457" s="2">
        <v>12000</v>
      </c>
      <c r="G3457" s="2">
        <v>3168</v>
      </c>
      <c r="H3457">
        <v>0</v>
      </c>
      <c r="I3457" t="s">
        <v>22</v>
      </c>
      <c r="J3457" t="s">
        <v>22</v>
      </c>
    </row>
    <row r="3458" spans="1:10" x14ac:dyDescent="0.25">
      <c r="A3458" t="s">
        <v>2176</v>
      </c>
      <c r="B3458" t="s">
        <v>449</v>
      </c>
      <c r="C3458" s="2">
        <v>1115</v>
      </c>
      <c r="D3458">
        <v>640</v>
      </c>
      <c r="E3458" s="2">
        <v>3099</v>
      </c>
      <c r="F3458" s="2">
        <v>2000</v>
      </c>
      <c r="G3458">
        <v>549</v>
      </c>
      <c r="H3458">
        <v>0</v>
      </c>
      <c r="I3458" t="s">
        <v>22</v>
      </c>
      <c r="J3458" t="s">
        <v>22</v>
      </c>
    </row>
    <row r="3459" spans="1:10" x14ac:dyDescent="0.25">
      <c r="A3459" t="s">
        <v>2177</v>
      </c>
      <c r="B3459" t="s">
        <v>451</v>
      </c>
      <c r="C3459" s="2">
        <v>10594</v>
      </c>
      <c r="D3459" s="2">
        <v>5567</v>
      </c>
      <c r="E3459" s="2">
        <v>6661</v>
      </c>
      <c r="F3459" s="2">
        <v>6000</v>
      </c>
      <c r="G3459" s="2">
        <v>4824</v>
      </c>
      <c r="H3459">
        <v>0</v>
      </c>
      <c r="I3459" t="s">
        <v>22</v>
      </c>
      <c r="J3459" t="s">
        <v>22</v>
      </c>
    </row>
    <row r="3460" spans="1:10" x14ac:dyDescent="0.25">
      <c r="A3460" t="s">
        <v>2178</v>
      </c>
      <c r="B3460" t="s">
        <v>457</v>
      </c>
      <c r="C3460">
        <v>74</v>
      </c>
      <c r="D3460">
        <v>67</v>
      </c>
      <c r="E3460">
        <v>42</v>
      </c>
      <c r="F3460">
        <v>100</v>
      </c>
      <c r="G3460">
        <v>42</v>
      </c>
      <c r="H3460">
        <v>0</v>
      </c>
      <c r="I3460" t="s">
        <v>22</v>
      </c>
      <c r="J3460" t="s">
        <v>22</v>
      </c>
    </row>
    <row r="3461" spans="1:10" x14ac:dyDescent="0.25">
      <c r="A3461" t="s">
        <v>2179</v>
      </c>
      <c r="B3461" t="s">
        <v>1232</v>
      </c>
      <c r="C3461">
        <v>0</v>
      </c>
      <c r="D3461" s="2">
        <v>6625</v>
      </c>
      <c r="E3461" s="2">
        <v>7100</v>
      </c>
      <c r="F3461">
        <v>0</v>
      </c>
      <c r="G3461" s="2">
        <v>1692</v>
      </c>
      <c r="H3461">
        <v>0</v>
      </c>
      <c r="I3461" t="s">
        <v>22</v>
      </c>
      <c r="J3461" t="s">
        <v>22</v>
      </c>
    </row>
    <row r="3462" spans="1:10" x14ac:dyDescent="0.25">
      <c r="A3462" t="s">
        <v>2180</v>
      </c>
      <c r="B3462" t="s">
        <v>471</v>
      </c>
      <c r="C3462">
        <v>687</v>
      </c>
      <c r="D3462">
        <v>534</v>
      </c>
      <c r="E3462">
        <v>268</v>
      </c>
      <c r="F3462" s="2">
        <v>1500</v>
      </c>
      <c r="G3462">
        <v>240</v>
      </c>
      <c r="H3462">
        <v>0</v>
      </c>
      <c r="I3462" t="s">
        <v>22</v>
      </c>
      <c r="J3462" t="s">
        <v>22</v>
      </c>
    </row>
    <row r="3463" spans="1:10" x14ac:dyDescent="0.25">
      <c r="A3463" t="s">
        <v>2181</v>
      </c>
      <c r="B3463" t="s">
        <v>1047</v>
      </c>
      <c r="C3463" s="2">
        <v>7603</v>
      </c>
      <c r="D3463" s="2">
        <v>7953</v>
      </c>
      <c r="E3463" s="2">
        <v>8023</v>
      </c>
      <c r="F3463" s="2">
        <v>9000</v>
      </c>
      <c r="G3463" s="2">
        <v>4478</v>
      </c>
      <c r="H3463">
        <v>0</v>
      </c>
      <c r="I3463" t="s">
        <v>22</v>
      </c>
      <c r="J3463" t="s">
        <v>22</v>
      </c>
    </row>
    <row r="3464" spans="1:10" x14ac:dyDescent="0.25">
      <c r="A3464" t="s">
        <v>2182</v>
      </c>
      <c r="B3464" t="s">
        <v>473</v>
      </c>
      <c r="C3464" s="2">
        <v>105108</v>
      </c>
      <c r="D3464" s="2">
        <v>61962</v>
      </c>
      <c r="E3464" s="2">
        <v>48527</v>
      </c>
      <c r="F3464" s="2">
        <v>100000</v>
      </c>
      <c r="G3464" s="2">
        <v>83946</v>
      </c>
      <c r="H3464">
        <v>0</v>
      </c>
      <c r="I3464" t="s">
        <v>22</v>
      </c>
      <c r="J3464" t="s">
        <v>22</v>
      </c>
    </row>
    <row r="3465" spans="1:10" x14ac:dyDescent="0.25">
      <c r="A3465" t="s">
        <v>2183</v>
      </c>
      <c r="B3465" t="s">
        <v>1241</v>
      </c>
      <c r="C3465" s="2">
        <v>43390</v>
      </c>
      <c r="D3465">
        <v>35</v>
      </c>
      <c r="E3465">
        <v>0</v>
      </c>
      <c r="F3465">
        <v>0</v>
      </c>
      <c r="G3465">
        <v>0</v>
      </c>
      <c r="H3465">
        <v>0</v>
      </c>
      <c r="I3465" t="s">
        <v>22</v>
      </c>
      <c r="J3465" t="s">
        <v>22</v>
      </c>
    </row>
    <row r="3466" spans="1:10" x14ac:dyDescent="0.25">
      <c r="A3466" t="s">
        <v>2184</v>
      </c>
      <c r="B3466" t="s">
        <v>626</v>
      </c>
      <c r="C3466" s="2">
        <v>36500</v>
      </c>
      <c r="D3466" s="2">
        <v>28473</v>
      </c>
      <c r="E3466" s="2">
        <v>55277</v>
      </c>
      <c r="F3466" s="2">
        <v>60000</v>
      </c>
      <c r="G3466" s="2">
        <v>28870</v>
      </c>
      <c r="H3466">
        <v>0</v>
      </c>
      <c r="I3466" t="s">
        <v>22</v>
      </c>
      <c r="J3466" t="s">
        <v>22</v>
      </c>
    </row>
    <row r="3467" spans="1:10" x14ac:dyDescent="0.25">
      <c r="A3467" t="s">
        <v>2185</v>
      </c>
      <c r="B3467" t="s">
        <v>1246</v>
      </c>
      <c r="C3467">
        <v>700</v>
      </c>
      <c r="D3467" s="2">
        <v>5007</v>
      </c>
      <c r="E3467" s="2">
        <v>2977</v>
      </c>
      <c r="F3467" s="2">
        <v>2000</v>
      </c>
      <c r="G3467" s="2">
        <v>5996</v>
      </c>
      <c r="H3467">
        <v>0</v>
      </c>
      <c r="I3467" t="s">
        <v>22</v>
      </c>
      <c r="J3467" t="s">
        <v>22</v>
      </c>
    </row>
    <row r="3468" spans="1:10" x14ac:dyDescent="0.25">
      <c r="A3468" t="s">
        <v>2186</v>
      </c>
      <c r="B3468" t="s">
        <v>1976</v>
      </c>
      <c r="C3468">
        <v>0</v>
      </c>
      <c r="D3468">
        <v>0</v>
      </c>
      <c r="E3468">
        <v>0</v>
      </c>
      <c r="F3468">
        <v>0</v>
      </c>
      <c r="G3468">
        <v>0</v>
      </c>
      <c r="H3468">
        <v>0</v>
      </c>
      <c r="I3468" t="s">
        <v>22</v>
      </c>
      <c r="J3468" t="s">
        <v>22</v>
      </c>
    </row>
    <row r="3469" spans="1:10" x14ac:dyDescent="0.25">
      <c r="A3469" t="s">
        <v>2187</v>
      </c>
      <c r="B3469" t="s">
        <v>475</v>
      </c>
      <c r="C3469" s="2">
        <v>1329</v>
      </c>
      <c r="D3469" s="2">
        <v>2350</v>
      </c>
      <c r="E3469">
        <v>627</v>
      </c>
      <c r="F3469" s="2">
        <v>1500</v>
      </c>
      <c r="G3469" s="2">
        <v>1106</v>
      </c>
      <c r="H3469">
        <v>0</v>
      </c>
      <c r="I3469" t="s">
        <v>22</v>
      </c>
      <c r="J3469" t="s">
        <v>22</v>
      </c>
    </row>
    <row r="3470" spans="1:10" x14ac:dyDescent="0.25">
      <c r="A3470" t="s">
        <v>2188</v>
      </c>
      <c r="B3470" t="s">
        <v>2189</v>
      </c>
      <c r="C3470" s="2">
        <v>38335</v>
      </c>
      <c r="D3470" s="2">
        <v>33320</v>
      </c>
      <c r="E3470" s="2">
        <v>36428</v>
      </c>
      <c r="F3470" s="2">
        <v>40000</v>
      </c>
      <c r="G3470">
        <v>0</v>
      </c>
      <c r="H3470">
        <v>0</v>
      </c>
      <c r="I3470" t="s">
        <v>22</v>
      </c>
      <c r="J3470" t="s">
        <v>22</v>
      </c>
    </row>
    <row r="3471" spans="1:10" x14ac:dyDescent="0.25">
      <c r="A3471" t="s">
        <v>2190</v>
      </c>
      <c r="B3471" t="s">
        <v>1387</v>
      </c>
      <c r="C3471" s="2">
        <v>607357</v>
      </c>
      <c r="D3471" s="2">
        <v>223694</v>
      </c>
      <c r="E3471" s="2">
        <v>106692</v>
      </c>
      <c r="F3471" s="2">
        <v>400000</v>
      </c>
      <c r="G3471" s="2">
        <v>8158</v>
      </c>
      <c r="H3471">
        <v>0</v>
      </c>
      <c r="I3471" t="s">
        <v>22</v>
      </c>
      <c r="J3471" t="s">
        <v>22</v>
      </c>
    </row>
    <row r="3472" spans="1:10" x14ac:dyDescent="0.25">
      <c r="A3472" t="s">
        <v>2191</v>
      </c>
      <c r="B3472" t="s">
        <v>2192</v>
      </c>
      <c r="C3472">
        <v>0</v>
      </c>
      <c r="D3472">
        <v>0</v>
      </c>
      <c r="E3472" s="2">
        <v>12744</v>
      </c>
      <c r="F3472" s="2">
        <v>25000</v>
      </c>
      <c r="G3472" s="2">
        <v>8447</v>
      </c>
      <c r="H3472">
        <v>0</v>
      </c>
      <c r="I3472" t="s">
        <v>22</v>
      </c>
      <c r="J3472" t="s">
        <v>22</v>
      </c>
    </row>
    <row r="3473" spans="1:10" x14ac:dyDescent="0.25">
      <c r="A3473" t="s">
        <v>2193</v>
      </c>
      <c r="B3473" t="s">
        <v>2194</v>
      </c>
      <c r="C3473" s="2">
        <v>120016</v>
      </c>
      <c r="D3473" s="2">
        <v>22440</v>
      </c>
      <c r="E3473" s="2">
        <v>43411</v>
      </c>
      <c r="F3473" s="2">
        <v>50000</v>
      </c>
      <c r="G3473" s="2">
        <v>49876</v>
      </c>
      <c r="H3473">
        <v>0</v>
      </c>
      <c r="I3473" t="s">
        <v>22</v>
      </c>
      <c r="J3473" t="s">
        <v>22</v>
      </c>
    </row>
    <row r="3474" spans="1:10" x14ac:dyDescent="0.25">
      <c r="A3474" t="s">
        <v>2195</v>
      </c>
      <c r="B3474" t="s">
        <v>477</v>
      </c>
      <c r="C3474">
        <v>18</v>
      </c>
      <c r="D3474">
        <v>600</v>
      </c>
      <c r="E3474">
        <v>23</v>
      </c>
      <c r="F3474" s="2">
        <v>2200</v>
      </c>
      <c r="G3474">
        <v>40</v>
      </c>
      <c r="H3474">
        <v>0</v>
      </c>
      <c r="I3474" t="s">
        <v>22</v>
      </c>
      <c r="J3474" t="s">
        <v>22</v>
      </c>
    </row>
    <row r="3475" spans="1:10" x14ac:dyDescent="0.25">
      <c r="C3475" t="s">
        <v>108</v>
      </c>
      <c r="D3475" t="s">
        <v>108</v>
      </c>
      <c r="E3475" t="s">
        <v>108</v>
      </c>
      <c r="F3475" t="s">
        <v>108</v>
      </c>
      <c r="G3475" t="s">
        <v>108</v>
      </c>
    </row>
    <row r="3476" spans="1:10" x14ac:dyDescent="0.25">
      <c r="H3476" t="s">
        <v>22</v>
      </c>
      <c r="I3476" t="s">
        <v>22</v>
      </c>
      <c r="J3476" t="s">
        <v>22</v>
      </c>
    </row>
    <row r="3477" spans="1:10" x14ac:dyDescent="0.25">
      <c r="A3477" t="s">
        <v>109</v>
      </c>
    </row>
    <row r="3478" spans="1:10" x14ac:dyDescent="0.25">
      <c r="B3478" t="s">
        <v>478</v>
      </c>
      <c r="C3478" s="2">
        <v>999061</v>
      </c>
      <c r="D3478" s="2">
        <v>450042</v>
      </c>
      <c r="E3478" s="2">
        <v>354029</v>
      </c>
      <c r="F3478" s="2">
        <v>732923</v>
      </c>
      <c r="G3478" s="2">
        <v>221906</v>
      </c>
      <c r="H3478">
        <v>0</v>
      </c>
    </row>
    <row r="3479" spans="1:10" x14ac:dyDescent="0.25">
      <c r="A3479" t="s">
        <v>110</v>
      </c>
    </row>
    <row r="3480" spans="1:10" x14ac:dyDescent="0.25">
      <c r="A3480" s="1">
        <v>43991</v>
      </c>
      <c r="B3480" t="s">
        <v>1615</v>
      </c>
      <c r="D3480" t="s">
        <v>112</v>
      </c>
      <c r="E3480" t="s">
        <v>113</v>
      </c>
      <c r="F3480" t="s">
        <v>114</v>
      </c>
      <c r="J3480" t="s">
        <v>651</v>
      </c>
    </row>
    <row r="3481" spans="1:10" x14ac:dyDescent="0.25">
      <c r="D3481" t="s">
        <v>116</v>
      </c>
      <c r="E3481" t="s">
        <v>117</v>
      </c>
      <c r="F3481" t="s">
        <v>118</v>
      </c>
    </row>
    <row r="3482" spans="1:10" x14ac:dyDescent="0.25">
      <c r="D3482" t="s">
        <v>119</v>
      </c>
      <c r="E3482" t="s">
        <v>120</v>
      </c>
      <c r="F3482" t="s">
        <v>121</v>
      </c>
    </row>
    <row r="3483" spans="1:10" x14ac:dyDescent="0.25">
      <c r="A3483" t="s">
        <v>1906</v>
      </c>
      <c r="B3483" t="s">
        <v>1907</v>
      </c>
    </row>
    <row r="3484" spans="1:10" x14ac:dyDescent="0.25">
      <c r="A3484" t="s">
        <v>386</v>
      </c>
    </row>
    <row r="3485" spans="1:10" x14ac:dyDescent="0.25">
      <c r="F3485" t="s">
        <v>2</v>
      </c>
      <c r="G3485" t="s">
        <v>3</v>
      </c>
      <c r="H3485" t="s">
        <v>4</v>
      </c>
      <c r="I3485" t="s">
        <v>5</v>
      </c>
      <c r="J3485" t="s">
        <v>6</v>
      </c>
    </row>
    <row r="3486" spans="1:10" x14ac:dyDescent="0.25">
      <c r="C3486" t="s">
        <v>7</v>
      </c>
      <c r="D3486" t="s">
        <v>8</v>
      </c>
      <c r="E3486" t="s">
        <v>9</v>
      </c>
      <c r="F3486" t="s">
        <v>10</v>
      </c>
      <c r="G3486" t="s">
        <v>124</v>
      </c>
      <c r="H3486" t="s">
        <v>12</v>
      </c>
      <c r="I3486" t="s">
        <v>13</v>
      </c>
      <c r="J3486" t="s">
        <v>14</v>
      </c>
    </row>
    <row r="3487" spans="1:10" x14ac:dyDescent="0.25">
      <c r="C3487" t="s">
        <v>15</v>
      </c>
      <c r="D3487" t="s">
        <v>15</v>
      </c>
      <c r="E3487" t="s">
        <v>15</v>
      </c>
      <c r="F3487" t="s">
        <v>16</v>
      </c>
      <c r="G3487" t="s">
        <v>15</v>
      </c>
      <c r="H3487" t="s">
        <v>17</v>
      </c>
      <c r="I3487" t="s">
        <v>16</v>
      </c>
      <c r="J3487" t="s">
        <v>16</v>
      </c>
    </row>
    <row r="3488" spans="1:10" x14ac:dyDescent="0.25">
      <c r="A3488" t="s">
        <v>18</v>
      </c>
      <c r="B3488" t="s">
        <v>19</v>
      </c>
      <c r="C3488" t="s">
        <v>20</v>
      </c>
      <c r="D3488" t="s">
        <v>21</v>
      </c>
      <c r="E3488" t="s">
        <v>22</v>
      </c>
      <c r="F3488" t="s">
        <v>23</v>
      </c>
      <c r="G3488" t="s">
        <v>24</v>
      </c>
      <c r="H3488" t="s">
        <v>20</v>
      </c>
      <c r="I3488" t="s">
        <v>24</v>
      </c>
      <c r="J3488" t="s">
        <v>20</v>
      </c>
    </row>
    <row r="3490" spans="1:10" x14ac:dyDescent="0.25">
      <c r="A3490" t="s">
        <v>489</v>
      </c>
    </row>
    <row r="3491" spans="1:10" x14ac:dyDescent="0.25">
      <c r="A3491" t="s">
        <v>18</v>
      </c>
    </row>
    <row r="3492" spans="1:10" x14ac:dyDescent="0.25">
      <c r="A3492" t="s">
        <v>2196</v>
      </c>
      <c r="B3492" t="s">
        <v>489</v>
      </c>
      <c r="C3492" s="2">
        <v>7034</v>
      </c>
      <c r="D3492" s="2">
        <v>5155</v>
      </c>
      <c r="E3492" s="2">
        <v>4567</v>
      </c>
      <c r="F3492" s="2">
        <v>5500</v>
      </c>
      <c r="G3492" s="2">
        <v>1031</v>
      </c>
      <c r="H3492">
        <v>0</v>
      </c>
      <c r="I3492" t="s">
        <v>22</v>
      </c>
      <c r="J3492" t="s">
        <v>22</v>
      </c>
    </row>
    <row r="3493" spans="1:10" x14ac:dyDescent="0.25">
      <c r="A3493" t="s">
        <v>2197</v>
      </c>
      <c r="B3493" t="s">
        <v>1252</v>
      </c>
      <c r="C3493" s="2">
        <v>3747</v>
      </c>
      <c r="D3493" s="2">
        <v>3629</v>
      </c>
      <c r="E3493" s="2">
        <v>8055</v>
      </c>
      <c r="F3493" s="2">
        <v>4000</v>
      </c>
      <c r="G3493" s="2">
        <v>7022</v>
      </c>
      <c r="H3493">
        <v>0</v>
      </c>
      <c r="I3493" t="s">
        <v>22</v>
      </c>
      <c r="J3493" t="s">
        <v>22</v>
      </c>
    </row>
    <row r="3494" spans="1:10" x14ac:dyDescent="0.25">
      <c r="A3494" t="s">
        <v>2198</v>
      </c>
      <c r="B3494" t="s">
        <v>2199</v>
      </c>
      <c r="C3494" s="2">
        <v>106352</v>
      </c>
      <c r="D3494" s="2">
        <v>42031</v>
      </c>
      <c r="E3494" s="2">
        <v>48902</v>
      </c>
      <c r="F3494" s="2">
        <v>60000</v>
      </c>
      <c r="G3494" s="2">
        <v>53522</v>
      </c>
      <c r="H3494">
        <v>0</v>
      </c>
      <c r="I3494" t="s">
        <v>22</v>
      </c>
      <c r="J3494" t="s">
        <v>22</v>
      </c>
    </row>
    <row r="3495" spans="1:10" x14ac:dyDescent="0.25">
      <c r="A3495" t="s">
        <v>2200</v>
      </c>
      <c r="B3495" t="s">
        <v>496</v>
      </c>
      <c r="C3495" s="2">
        <v>45534</v>
      </c>
      <c r="D3495" s="2">
        <v>40321</v>
      </c>
      <c r="E3495" s="2">
        <v>36763</v>
      </c>
      <c r="F3495" s="2">
        <v>30000</v>
      </c>
      <c r="G3495" s="2">
        <v>20402</v>
      </c>
      <c r="H3495">
        <v>0</v>
      </c>
      <c r="I3495" t="s">
        <v>22</v>
      </c>
      <c r="J3495" t="s">
        <v>22</v>
      </c>
    </row>
    <row r="3496" spans="1:10" x14ac:dyDescent="0.25">
      <c r="A3496" t="s">
        <v>2201</v>
      </c>
      <c r="B3496" t="s">
        <v>1255</v>
      </c>
      <c r="C3496">
        <v>0</v>
      </c>
      <c r="D3496">
        <v>0</v>
      </c>
      <c r="E3496">
        <v>0</v>
      </c>
      <c r="F3496">
        <v>0</v>
      </c>
      <c r="G3496">
        <v>0</v>
      </c>
      <c r="H3496">
        <v>0</v>
      </c>
      <c r="I3496" t="s">
        <v>22</v>
      </c>
      <c r="J3496" t="s">
        <v>22</v>
      </c>
    </row>
    <row r="3497" spans="1:10" x14ac:dyDescent="0.25">
      <c r="A3497" t="s">
        <v>2202</v>
      </c>
      <c r="B3497" t="s">
        <v>1259</v>
      </c>
      <c r="C3497">
        <v>0</v>
      </c>
      <c r="D3497">
        <v>0</v>
      </c>
      <c r="E3497">
        <v>568</v>
      </c>
      <c r="F3497">
        <v>0</v>
      </c>
      <c r="G3497">
        <v>0</v>
      </c>
      <c r="H3497">
        <v>0</v>
      </c>
      <c r="I3497" t="s">
        <v>22</v>
      </c>
      <c r="J3497" t="s">
        <v>22</v>
      </c>
    </row>
    <row r="3498" spans="1:10" x14ac:dyDescent="0.25">
      <c r="A3498" t="s">
        <v>2203</v>
      </c>
      <c r="B3498" t="s">
        <v>498</v>
      </c>
      <c r="C3498">
        <v>0</v>
      </c>
      <c r="D3498">
        <v>0</v>
      </c>
      <c r="E3498">
        <v>0</v>
      </c>
      <c r="F3498">
        <v>0</v>
      </c>
      <c r="G3498">
        <v>0</v>
      </c>
      <c r="H3498">
        <v>0</v>
      </c>
      <c r="I3498" t="s">
        <v>22</v>
      </c>
      <c r="J3498" t="s">
        <v>22</v>
      </c>
    </row>
    <row r="3499" spans="1:10" x14ac:dyDescent="0.25">
      <c r="A3499" t="s">
        <v>2204</v>
      </c>
      <c r="B3499" t="s">
        <v>500</v>
      </c>
      <c r="C3499">
        <v>0</v>
      </c>
      <c r="D3499">
        <v>0</v>
      </c>
      <c r="E3499">
        <v>0</v>
      </c>
      <c r="F3499">
        <v>0</v>
      </c>
      <c r="G3499">
        <v>0</v>
      </c>
      <c r="H3499">
        <v>0</v>
      </c>
      <c r="I3499" t="s">
        <v>22</v>
      </c>
      <c r="J3499" t="s">
        <v>22</v>
      </c>
    </row>
    <row r="3500" spans="1:10" x14ac:dyDescent="0.25">
      <c r="C3500" t="s">
        <v>108</v>
      </c>
      <c r="D3500" t="s">
        <v>108</v>
      </c>
      <c r="E3500" t="s">
        <v>108</v>
      </c>
      <c r="F3500" t="s">
        <v>108</v>
      </c>
      <c r="G3500" t="s">
        <v>108</v>
      </c>
    </row>
    <row r="3501" spans="1:10" x14ac:dyDescent="0.25">
      <c r="H3501" t="s">
        <v>22</v>
      </c>
      <c r="I3501" t="s">
        <v>22</v>
      </c>
      <c r="J3501" t="s">
        <v>22</v>
      </c>
    </row>
    <row r="3502" spans="1:10" x14ac:dyDescent="0.25">
      <c r="A3502" t="s">
        <v>109</v>
      </c>
    </row>
    <row r="3503" spans="1:10" x14ac:dyDescent="0.25">
      <c r="B3503" t="s">
        <v>489</v>
      </c>
      <c r="C3503" s="2">
        <v>162667</v>
      </c>
      <c r="D3503" s="2">
        <v>91137</v>
      </c>
      <c r="E3503" s="2">
        <v>98855</v>
      </c>
      <c r="F3503" s="2">
        <v>99500</v>
      </c>
      <c r="G3503" s="2">
        <v>81978</v>
      </c>
      <c r="H3503">
        <v>0</v>
      </c>
    </row>
    <row r="3505" spans="1:10" x14ac:dyDescent="0.25">
      <c r="A3505" t="s">
        <v>501</v>
      </c>
    </row>
    <row r="3506" spans="1:10" x14ac:dyDescent="0.25">
      <c r="A3506" t="s">
        <v>18</v>
      </c>
    </row>
    <row r="3507" spans="1:10" x14ac:dyDescent="0.25">
      <c r="A3507" t="s">
        <v>2205</v>
      </c>
      <c r="B3507" t="s">
        <v>2206</v>
      </c>
      <c r="C3507">
        <v>0</v>
      </c>
      <c r="D3507">
        <v>0</v>
      </c>
      <c r="E3507">
        <v>0</v>
      </c>
      <c r="F3507">
        <v>0</v>
      </c>
      <c r="G3507">
        <v>0</v>
      </c>
      <c r="H3507">
        <v>0</v>
      </c>
      <c r="I3507" t="s">
        <v>22</v>
      </c>
      <c r="J3507" t="s">
        <v>22</v>
      </c>
    </row>
    <row r="3508" spans="1:10" x14ac:dyDescent="0.25">
      <c r="A3508" t="s">
        <v>2207</v>
      </c>
      <c r="B3508" t="s">
        <v>509</v>
      </c>
      <c r="C3508" s="2">
        <v>5756</v>
      </c>
      <c r="D3508" s="2">
        <v>31128</v>
      </c>
      <c r="E3508" s="2">
        <v>22251</v>
      </c>
      <c r="F3508" s="2">
        <v>50000</v>
      </c>
      <c r="G3508" s="2">
        <v>31317</v>
      </c>
      <c r="H3508">
        <v>0</v>
      </c>
      <c r="I3508" t="s">
        <v>22</v>
      </c>
      <c r="J3508" t="s">
        <v>22</v>
      </c>
    </row>
    <row r="3509" spans="1:10" x14ac:dyDescent="0.25">
      <c r="A3509" t="s">
        <v>2208</v>
      </c>
      <c r="B3509" t="s">
        <v>519</v>
      </c>
      <c r="C3509">
        <v>0</v>
      </c>
      <c r="D3509">
        <v>110</v>
      </c>
      <c r="E3509">
        <v>0</v>
      </c>
      <c r="F3509">
        <v>110</v>
      </c>
      <c r="G3509">
        <v>125</v>
      </c>
      <c r="H3509">
        <v>0</v>
      </c>
      <c r="I3509" t="s">
        <v>22</v>
      </c>
      <c r="J3509" t="s">
        <v>22</v>
      </c>
    </row>
    <row r="3510" spans="1:10" x14ac:dyDescent="0.25">
      <c r="A3510" t="s">
        <v>2209</v>
      </c>
      <c r="B3510" t="s">
        <v>521</v>
      </c>
      <c r="C3510" s="2">
        <v>3572</v>
      </c>
      <c r="D3510">
        <v>0</v>
      </c>
      <c r="E3510" s="2">
        <v>2023</v>
      </c>
      <c r="F3510" s="2">
        <v>3000</v>
      </c>
      <c r="G3510" s="2">
        <v>2870</v>
      </c>
      <c r="H3510">
        <v>0</v>
      </c>
      <c r="I3510" t="s">
        <v>22</v>
      </c>
      <c r="J3510" t="s">
        <v>22</v>
      </c>
    </row>
    <row r="3511" spans="1:10" x14ac:dyDescent="0.25">
      <c r="A3511" t="s">
        <v>2210</v>
      </c>
      <c r="B3511" t="s">
        <v>2211</v>
      </c>
      <c r="C3511" s="2">
        <v>35250</v>
      </c>
      <c r="D3511">
        <v>400</v>
      </c>
      <c r="E3511">
        <v>0</v>
      </c>
      <c r="F3511">
        <v>0</v>
      </c>
      <c r="G3511">
        <v>0</v>
      </c>
      <c r="H3511">
        <v>0</v>
      </c>
      <c r="I3511" t="s">
        <v>22</v>
      </c>
      <c r="J3511" t="s">
        <v>22</v>
      </c>
    </row>
    <row r="3512" spans="1:10" x14ac:dyDescent="0.25">
      <c r="C3512" t="s">
        <v>108</v>
      </c>
      <c r="D3512" t="s">
        <v>108</v>
      </c>
      <c r="E3512" t="s">
        <v>108</v>
      </c>
      <c r="F3512" t="s">
        <v>108</v>
      </c>
      <c r="G3512" t="s">
        <v>108</v>
      </c>
    </row>
    <row r="3513" spans="1:10" x14ac:dyDescent="0.25">
      <c r="H3513" t="s">
        <v>22</v>
      </c>
      <c r="I3513" t="s">
        <v>22</v>
      </c>
      <c r="J3513" t="s">
        <v>22</v>
      </c>
    </row>
    <row r="3514" spans="1:10" x14ac:dyDescent="0.25">
      <c r="A3514" t="s">
        <v>109</v>
      </c>
    </row>
    <row r="3515" spans="1:10" x14ac:dyDescent="0.25">
      <c r="B3515" t="s">
        <v>501</v>
      </c>
      <c r="C3515" s="2">
        <v>44577</v>
      </c>
      <c r="D3515" s="2">
        <v>31638</v>
      </c>
      <c r="E3515" s="2">
        <v>24274</v>
      </c>
      <c r="F3515" s="2">
        <v>53110</v>
      </c>
      <c r="G3515" s="2">
        <v>34311</v>
      </c>
      <c r="H3515">
        <v>0</v>
      </c>
    </row>
    <row r="3517" spans="1:10" x14ac:dyDescent="0.25">
      <c r="A3517" t="s">
        <v>524</v>
      </c>
      <c r="B3517" t="s">
        <v>525</v>
      </c>
    </row>
    <row r="3518" spans="1:10" x14ac:dyDescent="0.25">
      <c r="A3518" t="s">
        <v>18</v>
      </c>
      <c r="B3518" t="s">
        <v>526</v>
      </c>
    </row>
    <row r="3519" spans="1:10" x14ac:dyDescent="0.25">
      <c r="A3519" t="s">
        <v>2212</v>
      </c>
      <c r="B3519" t="s">
        <v>1282</v>
      </c>
      <c r="C3519" s="2">
        <v>-43424</v>
      </c>
      <c r="D3519">
        <v>0</v>
      </c>
      <c r="E3519" s="2">
        <v>87997</v>
      </c>
      <c r="F3519" s="2">
        <v>73500</v>
      </c>
      <c r="G3519" s="2">
        <v>68639</v>
      </c>
      <c r="H3519">
        <v>0</v>
      </c>
      <c r="I3519" t="s">
        <v>22</v>
      </c>
      <c r="J3519" t="s">
        <v>22</v>
      </c>
    </row>
    <row r="3520" spans="1:10" x14ac:dyDescent="0.25">
      <c r="A3520" t="s">
        <v>2213</v>
      </c>
      <c r="B3520" t="s">
        <v>534</v>
      </c>
      <c r="C3520">
        <v>0</v>
      </c>
      <c r="D3520">
        <v>0</v>
      </c>
      <c r="E3520">
        <v>0</v>
      </c>
      <c r="F3520">
        <v>0</v>
      </c>
      <c r="G3520">
        <v>0</v>
      </c>
      <c r="H3520">
        <v>0</v>
      </c>
      <c r="I3520" t="s">
        <v>22</v>
      </c>
      <c r="J3520" t="s">
        <v>22</v>
      </c>
    </row>
    <row r="3521" spans="1:10" x14ac:dyDescent="0.25">
      <c r="A3521" t="s">
        <v>2214</v>
      </c>
      <c r="B3521" t="s">
        <v>1412</v>
      </c>
      <c r="C3521">
        <v>0</v>
      </c>
      <c r="D3521">
        <v>0</v>
      </c>
      <c r="E3521">
        <v>0</v>
      </c>
      <c r="F3521">
        <v>0</v>
      </c>
      <c r="G3521">
        <v>0</v>
      </c>
      <c r="H3521">
        <v>0</v>
      </c>
      <c r="I3521" t="s">
        <v>22</v>
      </c>
      <c r="J3521" t="s">
        <v>22</v>
      </c>
    </row>
    <row r="3522" spans="1:10" x14ac:dyDescent="0.25">
      <c r="A3522" t="s">
        <v>2215</v>
      </c>
      <c r="B3522" t="s">
        <v>2216</v>
      </c>
      <c r="C3522" s="2">
        <v>43424</v>
      </c>
      <c r="D3522">
        <v>0</v>
      </c>
      <c r="E3522" s="2">
        <v>663679</v>
      </c>
      <c r="F3522">
        <v>0</v>
      </c>
      <c r="G3522">
        <v>0</v>
      </c>
      <c r="H3522">
        <v>0</v>
      </c>
      <c r="I3522" t="s">
        <v>22</v>
      </c>
      <c r="J3522" t="s">
        <v>22</v>
      </c>
    </row>
    <row r="3523" spans="1:10" x14ac:dyDescent="0.25">
      <c r="A3523" t="s">
        <v>2217</v>
      </c>
      <c r="B3523" t="s">
        <v>660</v>
      </c>
      <c r="C3523">
        <v>0</v>
      </c>
      <c r="D3523">
        <v>0</v>
      </c>
      <c r="E3523" s="2">
        <v>58294</v>
      </c>
      <c r="F3523" s="2">
        <v>70000</v>
      </c>
      <c r="G3523" s="2">
        <v>58294</v>
      </c>
      <c r="H3523">
        <v>0</v>
      </c>
      <c r="I3523" t="s">
        <v>22</v>
      </c>
      <c r="J3523" t="s">
        <v>22</v>
      </c>
    </row>
    <row r="3524" spans="1:10" x14ac:dyDescent="0.25">
      <c r="C3524" t="s">
        <v>108</v>
      </c>
      <c r="D3524" t="s">
        <v>108</v>
      </c>
      <c r="E3524" t="s">
        <v>108</v>
      </c>
      <c r="F3524" t="s">
        <v>108</v>
      </c>
      <c r="G3524" t="s">
        <v>108</v>
      </c>
    </row>
    <row r="3525" spans="1:10" x14ac:dyDescent="0.25">
      <c r="H3525" t="s">
        <v>22</v>
      </c>
      <c r="I3525" t="s">
        <v>22</v>
      </c>
      <c r="J3525" t="s">
        <v>22</v>
      </c>
    </row>
    <row r="3526" spans="1:10" x14ac:dyDescent="0.25">
      <c r="A3526" t="s">
        <v>109</v>
      </c>
    </row>
    <row r="3527" spans="1:10" x14ac:dyDescent="0.25">
      <c r="B3527" t="s">
        <v>530</v>
      </c>
      <c r="C3527">
        <v>0</v>
      </c>
      <c r="D3527">
        <v>0</v>
      </c>
      <c r="E3527" s="2">
        <v>809970</v>
      </c>
      <c r="F3527" s="2">
        <v>143500</v>
      </c>
      <c r="G3527" s="2">
        <v>126933</v>
      </c>
      <c r="H3527">
        <v>0</v>
      </c>
    </row>
    <row r="3528" spans="1:10" x14ac:dyDescent="0.25">
      <c r="A3528" t="s">
        <v>18</v>
      </c>
      <c r="B3528" t="s">
        <v>19</v>
      </c>
      <c r="C3528" t="s">
        <v>20</v>
      </c>
      <c r="D3528" t="s">
        <v>21</v>
      </c>
      <c r="E3528" t="s">
        <v>26</v>
      </c>
    </row>
    <row r="3529" spans="1:10" x14ac:dyDescent="0.25">
      <c r="E3529" t="s">
        <v>339</v>
      </c>
      <c r="F3529" t="s">
        <v>23</v>
      </c>
      <c r="G3529" t="s">
        <v>24</v>
      </c>
      <c r="H3529" t="s">
        <v>20</v>
      </c>
      <c r="I3529" t="s">
        <v>24</v>
      </c>
      <c r="J3529" t="s">
        <v>20</v>
      </c>
    </row>
    <row r="3530" spans="1:10" x14ac:dyDescent="0.25">
      <c r="A3530" t="s">
        <v>109</v>
      </c>
    </row>
    <row r="3531" spans="1:10" x14ac:dyDescent="0.25">
      <c r="A3531">
        <v>60</v>
      </c>
      <c r="B3531" t="e">
        <f>-WATER SERVICES</f>
        <v>#NAME?</v>
      </c>
      <c r="C3531" s="2">
        <v>1892877</v>
      </c>
      <c r="D3531" s="2">
        <v>1303100</v>
      </c>
      <c r="E3531" s="2">
        <v>1876297</v>
      </c>
      <c r="F3531" s="2">
        <v>1648416</v>
      </c>
      <c r="G3531" s="2">
        <v>873969</v>
      </c>
      <c r="H3531">
        <v>0</v>
      </c>
    </row>
    <row r="3533" spans="1:10" x14ac:dyDescent="0.25">
      <c r="A3533" t="s">
        <v>2218</v>
      </c>
      <c r="B3533" t="s">
        <v>2219</v>
      </c>
    </row>
    <row r="3534" spans="1:10" x14ac:dyDescent="0.25">
      <c r="A3534" t="s">
        <v>389</v>
      </c>
      <c r="B3534" t="s">
        <v>731</v>
      </c>
    </row>
    <row r="3536" spans="1:10" x14ac:dyDescent="0.25">
      <c r="A3536" t="s">
        <v>391</v>
      </c>
      <c r="B3536" t="s">
        <v>392</v>
      </c>
    </row>
    <row r="3537" spans="1:10" x14ac:dyDescent="0.25">
      <c r="A3537" t="s">
        <v>18</v>
      </c>
      <c r="B3537" t="s">
        <v>228</v>
      </c>
    </row>
    <row r="3538" spans="1:10" x14ac:dyDescent="0.25">
      <c r="A3538" t="s">
        <v>2220</v>
      </c>
      <c r="B3538" t="s">
        <v>569</v>
      </c>
      <c r="C3538" s="2">
        <v>2646</v>
      </c>
      <c r="D3538" s="2">
        <v>-2514</v>
      </c>
      <c r="E3538">
        <v>0</v>
      </c>
      <c r="F3538">
        <v>0</v>
      </c>
      <c r="G3538">
        <v>0</v>
      </c>
      <c r="H3538">
        <v>0</v>
      </c>
      <c r="I3538" t="s">
        <v>22</v>
      </c>
      <c r="J3538" t="s">
        <v>22</v>
      </c>
    </row>
    <row r="3539" spans="1:10" x14ac:dyDescent="0.25">
      <c r="A3539" t="s">
        <v>2221</v>
      </c>
      <c r="B3539" t="s">
        <v>396</v>
      </c>
      <c r="C3539">
        <v>269</v>
      </c>
      <c r="D3539">
        <v>9</v>
      </c>
      <c r="E3539">
        <v>0</v>
      </c>
      <c r="F3539">
        <v>504</v>
      </c>
      <c r="G3539">
        <v>0</v>
      </c>
      <c r="H3539">
        <v>0</v>
      </c>
      <c r="I3539" t="s">
        <v>22</v>
      </c>
      <c r="J3539" t="s">
        <v>22</v>
      </c>
    </row>
    <row r="3540" spans="1:10" x14ac:dyDescent="0.25">
      <c r="A3540" t="s">
        <v>2222</v>
      </c>
      <c r="B3540" t="s">
        <v>398</v>
      </c>
      <c r="C3540" s="2">
        <v>7799</v>
      </c>
      <c r="D3540" s="2">
        <v>3282</v>
      </c>
      <c r="E3540">
        <v>0</v>
      </c>
      <c r="F3540" s="2">
        <v>10166</v>
      </c>
      <c r="G3540" s="2">
        <v>1276</v>
      </c>
      <c r="H3540">
        <v>0</v>
      </c>
      <c r="I3540" t="s">
        <v>22</v>
      </c>
      <c r="J3540" t="s">
        <v>22</v>
      </c>
    </row>
    <row r="3541" spans="1:10" x14ac:dyDescent="0.25">
      <c r="A3541" t="s">
        <v>2223</v>
      </c>
      <c r="B3541" t="s">
        <v>400</v>
      </c>
      <c r="C3541" s="2">
        <v>8414</v>
      </c>
      <c r="D3541" s="2">
        <v>3537</v>
      </c>
      <c r="E3541">
        <v>0</v>
      </c>
      <c r="F3541" s="2">
        <v>12612</v>
      </c>
      <c r="G3541" s="2">
        <v>1157</v>
      </c>
      <c r="H3541">
        <v>0</v>
      </c>
      <c r="I3541" t="s">
        <v>22</v>
      </c>
      <c r="J3541" t="s">
        <v>22</v>
      </c>
    </row>
    <row r="3542" spans="1:10" x14ac:dyDescent="0.25">
      <c r="A3542" t="s">
        <v>2224</v>
      </c>
      <c r="B3542" t="s">
        <v>574</v>
      </c>
      <c r="C3542" s="2">
        <v>20390</v>
      </c>
      <c r="D3542" s="2">
        <v>7695</v>
      </c>
      <c r="E3542">
        <v>0</v>
      </c>
      <c r="F3542" s="2">
        <v>41144</v>
      </c>
      <c r="G3542" s="2">
        <v>7217</v>
      </c>
      <c r="H3542">
        <v>0</v>
      </c>
      <c r="I3542" t="s">
        <v>22</v>
      </c>
      <c r="J3542" t="s">
        <v>22</v>
      </c>
    </row>
    <row r="3543" spans="1:10" x14ac:dyDescent="0.25">
      <c r="A3543" t="s">
        <v>2225</v>
      </c>
      <c r="B3543" t="s">
        <v>404</v>
      </c>
      <c r="C3543" s="2">
        <v>1052</v>
      </c>
      <c r="D3543">
        <v>442</v>
      </c>
      <c r="E3543">
        <v>0</v>
      </c>
      <c r="F3543" s="2">
        <v>1308</v>
      </c>
      <c r="G3543">
        <v>121</v>
      </c>
      <c r="H3543">
        <v>0</v>
      </c>
      <c r="I3543" t="s">
        <v>22</v>
      </c>
      <c r="J3543" t="s">
        <v>22</v>
      </c>
    </row>
    <row r="3544" spans="1:10" x14ac:dyDescent="0.25">
      <c r="A3544" t="s">
        <v>2226</v>
      </c>
      <c r="B3544" t="s">
        <v>406</v>
      </c>
      <c r="C3544" s="2">
        <v>1307</v>
      </c>
      <c r="D3544" s="2">
        <v>1992</v>
      </c>
      <c r="E3544">
        <v>233</v>
      </c>
      <c r="F3544">
        <v>266</v>
      </c>
      <c r="G3544">
        <v>768</v>
      </c>
      <c r="H3544">
        <v>0</v>
      </c>
      <c r="I3544" t="s">
        <v>22</v>
      </c>
      <c r="J3544" t="s">
        <v>22</v>
      </c>
    </row>
    <row r="3545" spans="1:10" x14ac:dyDescent="0.25">
      <c r="A3545" t="s">
        <v>2227</v>
      </c>
      <c r="B3545" t="s">
        <v>424</v>
      </c>
      <c r="C3545">
        <v>381</v>
      </c>
      <c r="D3545">
        <v>381</v>
      </c>
      <c r="E3545">
        <v>0</v>
      </c>
      <c r="F3545">
        <v>69</v>
      </c>
      <c r="G3545">
        <v>0</v>
      </c>
      <c r="H3545">
        <v>0</v>
      </c>
      <c r="I3545" t="s">
        <v>22</v>
      </c>
      <c r="J3545" t="s">
        <v>22</v>
      </c>
    </row>
    <row r="3546" spans="1:10" x14ac:dyDescent="0.25">
      <c r="A3546" t="s">
        <v>2228</v>
      </c>
      <c r="B3546" t="s">
        <v>426</v>
      </c>
      <c r="C3546">
        <v>405</v>
      </c>
      <c r="D3546">
        <v>405</v>
      </c>
      <c r="E3546">
        <v>0</v>
      </c>
      <c r="F3546">
        <v>810</v>
      </c>
      <c r="G3546">
        <v>0</v>
      </c>
      <c r="H3546">
        <v>0</v>
      </c>
      <c r="I3546" t="s">
        <v>22</v>
      </c>
      <c r="J3546" t="s">
        <v>22</v>
      </c>
    </row>
    <row r="3547" spans="1:10" x14ac:dyDescent="0.25">
      <c r="A3547" t="s">
        <v>2229</v>
      </c>
      <c r="B3547" t="s">
        <v>1204</v>
      </c>
      <c r="C3547">
        <v>180</v>
      </c>
      <c r="D3547">
        <v>180</v>
      </c>
      <c r="E3547">
        <v>0</v>
      </c>
      <c r="F3547">
        <v>360</v>
      </c>
      <c r="G3547">
        <v>0</v>
      </c>
      <c r="H3547">
        <v>0</v>
      </c>
      <c r="I3547" t="s">
        <v>22</v>
      </c>
      <c r="J3547" t="s">
        <v>22</v>
      </c>
    </row>
    <row r="3548" spans="1:10" x14ac:dyDescent="0.25">
      <c r="A3548" t="s">
        <v>2230</v>
      </c>
      <c r="B3548" t="s">
        <v>428</v>
      </c>
      <c r="C3548">
        <v>346</v>
      </c>
      <c r="D3548">
        <v>0</v>
      </c>
      <c r="E3548">
        <v>0</v>
      </c>
      <c r="F3548">
        <v>0</v>
      </c>
      <c r="G3548">
        <v>0</v>
      </c>
      <c r="H3548">
        <v>0</v>
      </c>
      <c r="I3548" t="s">
        <v>22</v>
      </c>
      <c r="J3548" t="s">
        <v>22</v>
      </c>
    </row>
    <row r="3549" spans="1:10" x14ac:dyDescent="0.25">
      <c r="A3549" t="s">
        <v>2231</v>
      </c>
      <c r="B3549" t="s">
        <v>430</v>
      </c>
      <c r="C3549">
        <v>69</v>
      </c>
      <c r="D3549">
        <v>35</v>
      </c>
      <c r="E3549">
        <v>0</v>
      </c>
      <c r="F3549">
        <v>69</v>
      </c>
      <c r="G3549">
        <v>0</v>
      </c>
      <c r="H3549">
        <v>0</v>
      </c>
      <c r="I3549" t="s">
        <v>22</v>
      </c>
      <c r="J3549" t="s">
        <v>22</v>
      </c>
    </row>
    <row r="3550" spans="1:10" x14ac:dyDescent="0.25">
      <c r="A3550" t="s">
        <v>2232</v>
      </c>
      <c r="B3550" t="s">
        <v>432</v>
      </c>
      <c r="C3550" s="2">
        <v>8150</v>
      </c>
      <c r="D3550" s="2">
        <v>6077</v>
      </c>
      <c r="E3550">
        <v>0</v>
      </c>
      <c r="F3550" s="2">
        <v>6000</v>
      </c>
      <c r="G3550" s="2">
        <v>2093</v>
      </c>
      <c r="H3550">
        <v>0</v>
      </c>
      <c r="I3550" t="s">
        <v>22</v>
      </c>
      <c r="J3550" t="s">
        <v>22</v>
      </c>
    </row>
    <row r="3551" spans="1:10" x14ac:dyDescent="0.25">
      <c r="A3551" t="s">
        <v>2233</v>
      </c>
      <c r="B3551" t="s">
        <v>434</v>
      </c>
      <c r="C3551">
        <v>0</v>
      </c>
      <c r="D3551">
        <v>0</v>
      </c>
      <c r="E3551">
        <v>0</v>
      </c>
      <c r="F3551">
        <v>0</v>
      </c>
      <c r="G3551">
        <v>0</v>
      </c>
      <c r="H3551">
        <v>0</v>
      </c>
      <c r="I3551" t="s">
        <v>22</v>
      </c>
      <c r="J3551" t="s">
        <v>22</v>
      </c>
    </row>
    <row r="3552" spans="1:10" x14ac:dyDescent="0.25">
      <c r="A3552" t="s">
        <v>2234</v>
      </c>
      <c r="B3552" t="s">
        <v>436</v>
      </c>
      <c r="C3552">
        <v>0</v>
      </c>
      <c r="D3552">
        <v>0</v>
      </c>
      <c r="E3552">
        <v>0</v>
      </c>
      <c r="F3552">
        <v>0</v>
      </c>
      <c r="G3552">
        <v>0</v>
      </c>
      <c r="H3552">
        <v>0</v>
      </c>
      <c r="I3552" t="s">
        <v>22</v>
      </c>
      <c r="J3552" t="s">
        <v>22</v>
      </c>
    </row>
    <row r="3553" spans="1:10" x14ac:dyDescent="0.25">
      <c r="A3553" t="s">
        <v>2235</v>
      </c>
      <c r="B3553" t="s">
        <v>607</v>
      </c>
      <c r="C3553">
        <v>0</v>
      </c>
      <c r="D3553">
        <v>0</v>
      </c>
      <c r="E3553">
        <v>0</v>
      </c>
      <c r="F3553">
        <v>0</v>
      </c>
      <c r="G3553">
        <v>0</v>
      </c>
      <c r="H3553">
        <v>0</v>
      </c>
      <c r="I3553" t="s">
        <v>22</v>
      </c>
      <c r="J3553" t="s">
        <v>22</v>
      </c>
    </row>
    <row r="3554" spans="1:10" x14ac:dyDescent="0.25">
      <c r="A3554" t="s">
        <v>110</v>
      </c>
    </row>
    <row r="3555" spans="1:10" x14ac:dyDescent="0.25">
      <c r="A3555" s="1">
        <v>43991</v>
      </c>
      <c r="B3555" t="s">
        <v>1615</v>
      </c>
      <c r="D3555" t="s">
        <v>112</v>
      </c>
      <c r="E3555" t="s">
        <v>113</v>
      </c>
      <c r="F3555" t="s">
        <v>114</v>
      </c>
      <c r="J3555" t="s">
        <v>706</v>
      </c>
    </row>
    <row r="3556" spans="1:10" x14ac:dyDescent="0.25">
      <c r="D3556" t="s">
        <v>116</v>
      </c>
      <c r="E3556" t="s">
        <v>117</v>
      </c>
      <c r="F3556" t="s">
        <v>118</v>
      </c>
    </row>
    <row r="3557" spans="1:10" x14ac:dyDescent="0.25">
      <c r="D3557" t="s">
        <v>119</v>
      </c>
      <c r="E3557" t="s">
        <v>120</v>
      </c>
      <c r="F3557" t="s">
        <v>121</v>
      </c>
    </row>
    <row r="3558" spans="1:10" x14ac:dyDescent="0.25">
      <c r="A3558" t="s">
        <v>1906</v>
      </c>
      <c r="B3558" t="s">
        <v>1907</v>
      </c>
    </row>
    <row r="3559" spans="1:10" x14ac:dyDescent="0.25">
      <c r="A3559" t="s">
        <v>386</v>
      </c>
    </row>
    <row r="3560" spans="1:10" x14ac:dyDescent="0.25">
      <c r="F3560" t="s">
        <v>2</v>
      </c>
      <c r="G3560" t="s">
        <v>3</v>
      </c>
      <c r="H3560" t="s">
        <v>4</v>
      </c>
      <c r="I3560" t="s">
        <v>5</v>
      </c>
      <c r="J3560" t="s">
        <v>6</v>
      </c>
    </row>
    <row r="3561" spans="1:10" x14ac:dyDescent="0.25">
      <c r="C3561" t="s">
        <v>7</v>
      </c>
      <c r="D3561" t="s">
        <v>8</v>
      </c>
      <c r="E3561" t="s">
        <v>9</v>
      </c>
      <c r="F3561" t="s">
        <v>10</v>
      </c>
      <c r="G3561" t="s">
        <v>124</v>
      </c>
      <c r="H3561" t="s">
        <v>12</v>
      </c>
      <c r="I3561" t="s">
        <v>13</v>
      </c>
      <c r="J3561" t="s">
        <v>14</v>
      </c>
    </row>
    <row r="3562" spans="1:10" x14ac:dyDescent="0.25">
      <c r="C3562" t="s">
        <v>15</v>
      </c>
      <c r="D3562" t="s">
        <v>15</v>
      </c>
      <c r="E3562" t="s">
        <v>15</v>
      </c>
      <c r="F3562" t="s">
        <v>16</v>
      </c>
      <c r="G3562" t="s">
        <v>15</v>
      </c>
      <c r="H3562" t="s">
        <v>17</v>
      </c>
      <c r="I3562" t="s">
        <v>16</v>
      </c>
      <c r="J3562" t="s">
        <v>16</v>
      </c>
    </row>
    <row r="3563" spans="1:10" x14ac:dyDescent="0.25">
      <c r="A3563" t="s">
        <v>18</v>
      </c>
      <c r="B3563" t="s">
        <v>19</v>
      </c>
      <c r="C3563" t="s">
        <v>20</v>
      </c>
      <c r="D3563" t="s">
        <v>21</v>
      </c>
      <c r="E3563" t="s">
        <v>22</v>
      </c>
      <c r="F3563" t="s">
        <v>23</v>
      </c>
      <c r="G3563" t="s">
        <v>24</v>
      </c>
      <c r="H3563" t="s">
        <v>20</v>
      </c>
      <c r="I3563" t="s">
        <v>24</v>
      </c>
      <c r="J3563" t="s">
        <v>20</v>
      </c>
    </row>
    <row r="3564" spans="1:10" x14ac:dyDescent="0.25">
      <c r="A3564" t="s">
        <v>2236</v>
      </c>
      <c r="B3564" t="s">
        <v>2237</v>
      </c>
      <c r="C3564" s="2">
        <v>47986</v>
      </c>
      <c r="D3564" s="2">
        <v>35448</v>
      </c>
      <c r="E3564">
        <v>0</v>
      </c>
      <c r="F3564" s="2">
        <v>57330</v>
      </c>
      <c r="G3564" s="2">
        <v>15069</v>
      </c>
      <c r="H3564">
        <v>0</v>
      </c>
      <c r="I3564" t="s">
        <v>22</v>
      </c>
      <c r="J3564" t="s">
        <v>22</v>
      </c>
    </row>
    <row r="3565" spans="1:10" x14ac:dyDescent="0.25">
      <c r="A3565" t="s">
        <v>2238</v>
      </c>
      <c r="B3565" t="s">
        <v>2239</v>
      </c>
      <c r="C3565" s="2">
        <v>45544</v>
      </c>
      <c r="D3565">
        <v>0</v>
      </c>
      <c r="E3565">
        <v>0</v>
      </c>
      <c r="F3565" s="2">
        <v>74256</v>
      </c>
      <c r="G3565">
        <v>0</v>
      </c>
      <c r="H3565">
        <v>0</v>
      </c>
      <c r="I3565" t="s">
        <v>22</v>
      </c>
      <c r="J3565" t="s">
        <v>22</v>
      </c>
    </row>
    <row r="3566" spans="1:10" x14ac:dyDescent="0.25">
      <c r="A3566" t="s">
        <v>2240</v>
      </c>
      <c r="B3566" t="s">
        <v>1221</v>
      </c>
      <c r="C3566">
        <v>300</v>
      </c>
      <c r="D3566">
        <v>450</v>
      </c>
      <c r="E3566">
        <v>0</v>
      </c>
      <c r="F3566">
        <v>0</v>
      </c>
      <c r="G3566">
        <v>150</v>
      </c>
      <c r="H3566">
        <v>0</v>
      </c>
      <c r="I3566" t="s">
        <v>22</v>
      </c>
      <c r="J3566" t="s">
        <v>22</v>
      </c>
    </row>
    <row r="3567" spans="1:10" x14ac:dyDescent="0.25">
      <c r="C3567" t="s">
        <v>108</v>
      </c>
      <c r="D3567" t="s">
        <v>108</v>
      </c>
      <c r="E3567" t="s">
        <v>108</v>
      </c>
      <c r="F3567" t="s">
        <v>108</v>
      </c>
      <c r="G3567" t="s">
        <v>108</v>
      </c>
    </row>
    <row r="3568" spans="1:10" x14ac:dyDescent="0.25">
      <c r="H3568" t="s">
        <v>22</v>
      </c>
      <c r="I3568" t="s">
        <v>22</v>
      </c>
      <c r="J3568" t="s">
        <v>22</v>
      </c>
    </row>
    <row r="3569" spans="1:10" x14ac:dyDescent="0.25">
      <c r="A3569" t="s">
        <v>109</v>
      </c>
    </row>
    <row r="3570" spans="1:10" x14ac:dyDescent="0.25">
      <c r="B3570" t="s">
        <v>441</v>
      </c>
      <c r="C3570" s="2">
        <v>145237</v>
      </c>
      <c r="D3570" s="2">
        <v>57417</v>
      </c>
      <c r="E3570">
        <v>233</v>
      </c>
      <c r="F3570" s="2">
        <v>204894</v>
      </c>
      <c r="G3570" s="2">
        <v>27851</v>
      </c>
      <c r="H3570">
        <v>0</v>
      </c>
    </row>
    <row r="3572" spans="1:10" x14ac:dyDescent="0.25">
      <c r="A3572" t="s">
        <v>442</v>
      </c>
      <c r="B3572" t="s">
        <v>443</v>
      </c>
    </row>
    <row r="3573" spans="1:10" x14ac:dyDescent="0.25">
      <c r="A3573" t="s">
        <v>18</v>
      </c>
      <c r="B3573" t="s">
        <v>21</v>
      </c>
    </row>
    <row r="3574" spans="1:10" x14ac:dyDescent="0.25">
      <c r="A3574" t="s">
        <v>2241</v>
      </c>
      <c r="B3574" t="s">
        <v>445</v>
      </c>
      <c r="C3574" s="2">
        <v>3059</v>
      </c>
      <c r="D3574" s="2">
        <v>14645</v>
      </c>
      <c r="E3574" s="2">
        <v>13924</v>
      </c>
      <c r="F3574" s="2">
        <v>15317</v>
      </c>
      <c r="G3574" s="2">
        <v>14006</v>
      </c>
      <c r="H3574">
        <v>0</v>
      </c>
      <c r="I3574" t="s">
        <v>22</v>
      </c>
      <c r="J3574" t="s">
        <v>22</v>
      </c>
    </row>
    <row r="3575" spans="1:10" x14ac:dyDescent="0.25">
      <c r="A3575" t="s">
        <v>2242</v>
      </c>
      <c r="B3575" t="s">
        <v>447</v>
      </c>
      <c r="C3575">
        <v>718</v>
      </c>
      <c r="D3575">
        <v>547</v>
      </c>
      <c r="E3575">
        <v>264</v>
      </c>
      <c r="F3575" s="2">
        <v>1000</v>
      </c>
      <c r="G3575">
        <v>390</v>
      </c>
      <c r="H3575">
        <v>0</v>
      </c>
      <c r="I3575" t="s">
        <v>22</v>
      </c>
      <c r="J3575" t="s">
        <v>22</v>
      </c>
    </row>
    <row r="3576" spans="1:10" x14ac:dyDescent="0.25">
      <c r="A3576" t="s">
        <v>2243</v>
      </c>
      <c r="B3576" t="s">
        <v>449</v>
      </c>
      <c r="C3576">
        <v>0</v>
      </c>
      <c r="D3576">
        <v>0</v>
      </c>
      <c r="E3576">
        <v>206</v>
      </c>
      <c r="F3576">
        <v>350</v>
      </c>
      <c r="G3576">
        <v>17</v>
      </c>
      <c r="H3576">
        <v>0</v>
      </c>
      <c r="I3576" t="s">
        <v>22</v>
      </c>
      <c r="J3576" t="s">
        <v>22</v>
      </c>
    </row>
    <row r="3577" spans="1:10" x14ac:dyDescent="0.25">
      <c r="A3577" t="s">
        <v>2244</v>
      </c>
      <c r="B3577" t="s">
        <v>451</v>
      </c>
      <c r="C3577" s="2">
        <v>4261</v>
      </c>
      <c r="D3577" s="2">
        <v>1885</v>
      </c>
      <c r="E3577">
        <v>520</v>
      </c>
      <c r="F3577" s="2">
        <v>2500</v>
      </c>
      <c r="G3577">
        <v>600</v>
      </c>
      <c r="H3577">
        <v>0</v>
      </c>
      <c r="I3577" t="s">
        <v>22</v>
      </c>
      <c r="J3577" t="s">
        <v>22</v>
      </c>
    </row>
    <row r="3578" spans="1:10" x14ac:dyDescent="0.25">
      <c r="A3578" t="s">
        <v>2245</v>
      </c>
      <c r="B3578" t="s">
        <v>457</v>
      </c>
      <c r="C3578">
        <v>530</v>
      </c>
      <c r="D3578" s="2">
        <v>5299</v>
      </c>
      <c r="E3578" s="2">
        <v>6099</v>
      </c>
      <c r="F3578" s="2">
        <v>6100</v>
      </c>
      <c r="G3578" s="2">
        <v>7733</v>
      </c>
      <c r="H3578">
        <v>0</v>
      </c>
      <c r="I3578" t="s">
        <v>22</v>
      </c>
      <c r="J3578" t="s">
        <v>22</v>
      </c>
    </row>
    <row r="3579" spans="1:10" x14ac:dyDescent="0.25">
      <c r="A3579" t="s">
        <v>2246</v>
      </c>
      <c r="B3579" t="s">
        <v>465</v>
      </c>
      <c r="C3579">
        <v>0</v>
      </c>
      <c r="D3579">
        <v>0</v>
      </c>
      <c r="E3579">
        <v>0</v>
      </c>
      <c r="F3579">
        <v>0</v>
      </c>
      <c r="G3579">
        <v>0</v>
      </c>
      <c r="H3579">
        <v>0</v>
      </c>
      <c r="I3579" t="s">
        <v>22</v>
      </c>
      <c r="J3579" t="s">
        <v>22</v>
      </c>
    </row>
    <row r="3580" spans="1:10" x14ac:dyDescent="0.25">
      <c r="A3580" t="s">
        <v>2247</v>
      </c>
      <c r="B3580" t="s">
        <v>471</v>
      </c>
      <c r="C3580">
        <v>926</v>
      </c>
      <c r="D3580">
        <v>937</v>
      </c>
      <c r="E3580" s="2">
        <v>1048</v>
      </c>
      <c r="F3580" s="2">
        <v>1200</v>
      </c>
      <c r="G3580">
        <v>915</v>
      </c>
      <c r="H3580">
        <v>0</v>
      </c>
      <c r="I3580" t="s">
        <v>22</v>
      </c>
      <c r="J3580" t="s">
        <v>22</v>
      </c>
    </row>
    <row r="3581" spans="1:10" x14ac:dyDescent="0.25">
      <c r="A3581" t="s">
        <v>2248</v>
      </c>
      <c r="B3581" t="s">
        <v>1047</v>
      </c>
      <c r="C3581" s="2">
        <v>57847</v>
      </c>
      <c r="D3581" s="2">
        <v>52585</v>
      </c>
      <c r="E3581" s="2">
        <v>55885</v>
      </c>
      <c r="F3581" s="2">
        <v>70000</v>
      </c>
      <c r="G3581" s="2">
        <v>36921</v>
      </c>
      <c r="H3581">
        <v>0</v>
      </c>
      <c r="I3581" t="s">
        <v>22</v>
      </c>
      <c r="J3581" t="s">
        <v>22</v>
      </c>
    </row>
    <row r="3582" spans="1:10" x14ac:dyDescent="0.25">
      <c r="A3582" t="s">
        <v>2249</v>
      </c>
      <c r="B3582" t="s">
        <v>473</v>
      </c>
      <c r="C3582" s="2">
        <v>30178</v>
      </c>
      <c r="D3582" s="2">
        <v>48421</v>
      </c>
      <c r="E3582" s="2">
        <v>40453</v>
      </c>
      <c r="F3582" s="2">
        <v>55000</v>
      </c>
      <c r="G3582" s="2">
        <v>93820</v>
      </c>
      <c r="H3582">
        <v>0</v>
      </c>
      <c r="I3582" t="s">
        <v>22</v>
      </c>
      <c r="J3582" t="s">
        <v>22</v>
      </c>
    </row>
    <row r="3583" spans="1:10" x14ac:dyDescent="0.25">
      <c r="A3583" t="s">
        <v>2250</v>
      </c>
      <c r="B3583" t="s">
        <v>1241</v>
      </c>
      <c r="C3583" s="2">
        <v>5562</v>
      </c>
      <c r="D3583">
        <v>0</v>
      </c>
      <c r="E3583">
        <v>0</v>
      </c>
      <c r="F3583">
        <v>0</v>
      </c>
      <c r="G3583" s="2">
        <v>372000</v>
      </c>
      <c r="H3583">
        <v>0</v>
      </c>
      <c r="I3583" t="s">
        <v>22</v>
      </c>
      <c r="J3583" t="s">
        <v>22</v>
      </c>
    </row>
    <row r="3584" spans="1:10" x14ac:dyDescent="0.25">
      <c r="A3584" t="s">
        <v>2251</v>
      </c>
      <c r="B3584" t="s">
        <v>626</v>
      </c>
      <c r="C3584" s="2">
        <v>1007</v>
      </c>
      <c r="D3584" s="2">
        <v>1109</v>
      </c>
      <c r="E3584" s="2">
        <v>1362</v>
      </c>
      <c r="F3584" s="2">
        <v>1200</v>
      </c>
      <c r="G3584">
        <v>582</v>
      </c>
      <c r="H3584">
        <v>0</v>
      </c>
      <c r="I3584" t="s">
        <v>22</v>
      </c>
      <c r="J3584" t="s">
        <v>22</v>
      </c>
    </row>
    <row r="3585" spans="1:10" x14ac:dyDescent="0.25">
      <c r="A3585" t="s">
        <v>2252</v>
      </c>
      <c r="B3585" t="s">
        <v>1246</v>
      </c>
      <c r="C3585">
        <v>0</v>
      </c>
      <c r="D3585">
        <v>0</v>
      </c>
      <c r="E3585">
        <v>0</v>
      </c>
      <c r="F3585">
        <v>0</v>
      </c>
      <c r="G3585" s="2">
        <v>1034</v>
      </c>
      <c r="H3585">
        <v>0</v>
      </c>
      <c r="I3585" t="s">
        <v>22</v>
      </c>
      <c r="J3585" t="s">
        <v>22</v>
      </c>
    </row>
    <row r="3586" spans="1:10" x14ac:dyDescent="0.25">
      <c r="A3586" t="s">
        <v>2253</v>
      </c>
      <c r="B3586" t="s">
        <v>477</v>
      </c>
      <c r="C3586">
        <v>0</v>
      </c>
      <c r="D3586" s="2">
        <v>1987</v>
      </c>
      <c r="E3586">
        <v>0</v>
      </c>
      <c r="F3586" s="2">
        <v>2000</v>
      </c>
      <c r="G3586">
        <v>0</v>
      </c>
      <c r="H3586">
        <v>0</v>
      </c>
      <c r="I3586" t="s">
        <v>22</v>
      </c>
      <c r="J3586" t="s">
        <v>22</v>
      </c>
    </row>
    <row r="3587" spans="1:10" x14ac:dyDescent="0.25">
      <c r="C3587" t="s">
        <v>108</v>
      </c>
      <c r="D3587" t="s">
        <v>108</v>
      </c>
      <c r="E3587" t="s">
        <v>108</v>
      </c>
      <c r="F3587" t="s">
        <v>108</v>
      </c>
      <c r="G3587" t="s">
        <v>108</v>
      </c>
    </row>
    <row r="3588" spans="1:10" x14ac:dyDescent="0.25">
      <c r="H3588" t="s">
        <v>22</v>
      </c>
      <c r="I3588" t="s">
        <v>22</v>
      </c>
      <c r="J3588" t="s">
        <v>22</v>
      </c>
    </row>
    <row r="3589" spans="1:10" x14ac:dyDescent="0.25">
      <c r="A3589" t="s">
        <v>109</v>
      </c>
    </row>
    <row r="3590" spans="1:10" x14ac:dyDescent="0.25">
      <c r="B3590" t="s">
        <v>478</v>
      </c>
      <c r="C3590" s="2">
        <v>104087</v>
      </c>
      <c r="D3590" s="2">
        <v>127414</v>
      </c>
      <c r="E3590" s="2">
        <v>119761</v>
      </c>
      <c r="F3590" s="2">
        <v>154667</v>
      </c>
      <c r="G3590" s="2">
        <v>528019</v>
      </c>
      <c r="H3590">
        <v>0</v>
      </c>
    </row>
    <row r="3592" spans="1:10" x14ac:dyDescent="0.25">
      <c r="A3592" t="s">
        <v>489</v>
      </c>
    </row>
    <row r="3593" spans="1:10" x14ac:dyDescent="0.25">
      <c r="A3593" t="s">
        <v>18</v>
      </c>
    </row>
    <row r="3594" spans="1:10" x14ac:dyDescent="0.25">
      <c r="A3594" t="s">
        <v>2254</v>
      </c>
      <c r="B3594" t="s">
        <v>489</v>
      </c>
      <c r="C3594" s="2">
        <v>6799</v>
      </c>
      <c r="D3594" s="2">
        <v>3272</v>
      </c>
      <c r="E3594" s="2">
        <v>5978</v>
      </c>
      <c r="F3594" s="2">
        <v>5000</v>
      </c>
      <c r="G3594" s="2">
        <v>15206</v>
      </c>
      <c r="H3594">
        <v>0</v>
      </c>
      <c r="I3594" t="s">
        <v>22</v>
      </c>
      <c r="J3594" t="s">
        <v>22</v>
      </c>
    </row>
    <row r="3595" spans="1:10" x14ac:dyDescent="0.25">
      <c r="A3595" t="s">
        <v>2255</v>
      </c>
      <c r="B3595" t="s">
        <v>1252</v>
      </c>
      <c r="C3595" s="2">
        <v>1205</v>
      </c>
      <c r="D3595">
        <v>49</v>
      </c>
      <c r="E3595" s="2">
        <v>1359</v>
      </c>
      <c r="F3595" s="2">
        <v>1000</v>
      </c>
      <c r="G3595" s="2">
        <v>4518</v>
      </c>
      <c r="H3595">
        <v>0</v>
      </c>
      <c r="I3595" t="s">
        <v>22</v>
      </c>
      <c r="J3595" t="s">
        <v>22</v>
      </c>
    </row>
    <row r="3596" spans="1:10" x14ac:dyDescent="0.25">
      <c r="A3596" t="s">
        <v>2256</v>
      </c>
      <c r="B3596" t="s">
        <v>496</v>
      </c>
      <c r="C3596" s="2">
        <v>7110</v>
      </c>
      <c r="D3596" s="2">
        <v>3864</v>
      </c>
      <c r="E3596">
        <v>0</v>
      </c>
      <c r="F3596" s="2">
        <v>6200</v>
      </c>
      <c r="G3596">
        <v>624</v>
      </c>
      <c r="H3596">
        <v>0</v>
      </c>
      <c r="I3596" t="s">
        <v>22</v>
      </c>
      <c r="J3596" t="s">
        <v>22</v>
      </c>
    </row>
    <row r="3597" spans="1:10" x14ac:dyDescent="0.25">
      <c r="A3597" t="s">
        <v>2257</v>
      </c>
      <c r="B3597" t="s">
        <v>1259</v>
      </c>
      <c r="C3597" s="2">
        <v>52199</v>
      </c>
      <c r="D3597" s="2">
        <v>36495</v>
      </c>
      <c r="E3597" s="2">
        <v>30361</v>
      </c>
      <c r="F3597" s="2">
        <v>45000</v>
      </c>
      <c r="G3597" s="2">
        <v>28076</v>
      </c>
      <c r="H3597">
        <v>0</v>
      </c>
      <c r="I3597" t="s">
        <v>22</v>
      </c>
      <c r="J3597" t="s">
        <v>22</v>
      </c>
    </row>
    <row r="3598" spans="1:10" x14ac:dyDescent="0.25">
      <c r="A3598" t="s">
        <v>2258</v>
      </c>
      <c r="B3598" t="s">
        <v>498</v>
      </c>
      <c r="C3598">
        <v>0</v>
      </c>
      <c r="D3598">
        <v>0</v>
      </c>
      <c r="E3598">
        <v>0</v>
      </c>
      <c r="F3598">
        <v>0</v>
      </c>
      <c r="G3598">
        <v>0</v>
      </c>
      <c r="H3598">
        <v>0</v>
      </c>
      <c r="I3598" t="s">
        <v>22</v>
      </c>
      <c r="J3598" t="s">
        <v>22</v>
      </c>
    </row>
    <row r="3599" spans="1:10" x14ac:dyDescent="0.25">
      <c r="A3599" t="s">
        <v>2259</v>
      </c>
      <c r="B3599" t="s">
        <v>500</v>
      </c>
      <c r="C3599">
        <v>0</v>
      </c>
      <c r="D3599">
        <v>0</v>
      </c>
      <c r="E3599">
        <v>0</v>
      </c>
      <c r="F3599">
        <v>0</v>
      </c>
      <c r="G3599">
        <v>0</v>
      </c>
      <c r="H3599">
        <v>0</v>
      </c>
      <c r="I3599" t="s">
        <v>22</v>
      </c>
      <c r="J3599" t="s">
        <v>22</v>
      </c>
    </row>
    <row r="3600" spans="1:10" x14ac:dyDescent="0.25">
      <c r="C3600" t="s">
        <v>108</v>
      </c>
      <c r="D3600" t="s">
        <v>108</v>
      </c>
      <c r="E3600" t="s">
        <v>108</v>
      </c>
      <c r="F3600" t="s">
        <v>108</v>
      </c>
      <c r="G3600" t="s">
        <v>108</v>
      </c>
    </row>
    <row r="3601" spans="1:10" x14ac:dyDescent="0.25">
      <c r="H3601" t="s">
        <v>22</v>
      </c>
      <c r="I3601" t="s">
        <v>22</v>
      </c>
      <c r="J3601" t="s">
        <v>22</v>
      </c>
    </row>
    <row r="3602" spans="1:10" x14ac:dyDescent="0.25">
      <c r="A3602" t="s">
        <v>109</v>
      </c>
    </row>
    <row r="3603" spans="1:10" x14ac:dyDescent="0.25">
      <c r="B3603" t="s">
        <v>489</v>
      </c>
      <c r="C3603" s="2">
        <v>67313</v>
      </c>
      <c r="D3603" s="2">
        <v>43679</v>
      </c>
      <c r="E3603" s="2">
        <v>37698</v>
      </c>
      <c r="F3603" s="2">
        <v>57200</v>
      </c>
      <c r="G3603" s="2">
        <v>48423</v>
      </c>
      <c r="H3603">
        <v>0</v>
      </c>
    </row>
    <row r="3605" spans="1:10" x14ac:dyDescent="0.25">
      <c r="A3605" t="s">
        <v>501</v>
      </c>
    </row>
    <row r="3606" spans="1:10" x14ac:dyDescent="0.25">
      <c r="A3606" t="s">
        <v>18</v>
      </c>
    </row>
    <row r="3607" spans="1:10" x14ac:dyDescent="0.25">
      <c r="A3607" t="s">
        <v>2260</v>
      </c>
      <c r="B3607" t="s">
        <v>2261</v>
      </c>
      <c r="C3607" s="2">
        <v>14838</v>
      </c>
      <c r="D3607" s="2">
        <v>9015</v>
      </c>
      <c r="E3607" s="2">
        <v>7493</v>
      </c>
      <c r="F3607" s="2">
        <v>10000</v>
      </c>
      <c r="G3607" s="2">
        <v>1988</v>
      </c>
      <c r="H3607">
        <v>0</v>
      </c>
      <c r="I3607" t="s">
        <v>22</v>
      </c>
      <c r="J3607" t="s">
        <v>22</v>
      </c>
    </row>
    <row r="3608" spans="1:10" x14ac:dyDescent="0.25">
      <c r="A3608" t="s">
        <v>2262</v>
      </c>
      <c r="B3608" t="s">
        <v>509</v>
      </c>
      <c r="C3608" s="2">
        <v>14677</v>
      </c>
      <c r="D3608" s="2">
        <v>27676</v>
      </c>
      <c r="E3608" s="2">
        <v>1875</v>
      </c>
      <c r="F3608" s="2">
        <v>20000</v>
      </c>
      <c r="G3608" s="2">
        <v>34755</v>
      </c>
      <c r="H3608">
        <v>0</v>
      </c>
      <c r="I3608" t="s">
        <v>22</v>
      </c>
      <c r="J3608" t="s">
        <v>22</v>
      </c>
    </row>
    <row r="3609" spans="1:10" x14ac:dyDescent="0.25">
      <c r="A3609" t="s">
        <v>2263</v>
      </c>
      <c r="B3609" t="s">
        <v>2264</v>
      </c>
      <c r="C3609">
        <v>0</v>
      </c>
      <c r="D3609">
        <v>0</v>
      </c>
      <c r="E3609" s="2">
        <v>87188</v>
      </c>
      <c r="F3609" s="2">
        <v>175000</v>
      </c>
      <c r="G3609" s="2">
        <v>105469</v>
      </c>
      <c r="H3609">
        <v>0</v>
      </c>
      <c r="I3609" t="s">
        <v>22</v>
      </c>
      <c r="J3609" t="s">
        <v>22</v>
      </c>
    </row>
    <row r="3610" spans="1:10" x14ac:dyDescent="0.25">
      <c r="A3610" t="s">
        <v>2265</v>
      </c>
      <c r="B3610" t="s">
        <v>1880</v>
      </c>
      <c r="C3610" s="2">
        <v>101671</v>
      </c>
      <c r="D3610" s="2">
        <v>98232</v>
      </c>
      <c r="E3610" s="2">
        <v>57993</v>
      </c>
      <c r="F3610" s="2">
        <v>82000</v>
      </c>
      <c r="G3610" s="2">
        <v>26813</v>
      </c>
      <c r="H3610">
        <v>0</v>
      </c>
      <c r="I3610" t="s">
        <v>22</v>
      </c>
      <c r="J3610" t="s">
        <v>22</v>
      </c>
    </row>
    <row r="3611" spans="1:10" x14ac:dyDescent="0.25">
      <c r="A3611" t="s">
        <v>2266</v>
      </c>
      <c r="B3611" t="s">
        <v>519</v>
      </c>
      <c r="C3611">
        <v>0</v>
      </c>
      <c r="D3611">
        <v>0</v>
      </c>
      <c r="E3611">
        <v>0</v>
      </c>
      <c r="F3611" s="2">
        <v>2500</v>
      </c>
      <c r="G3611">
        <v>417</v>
      </c>
      <c r="H3611">
        <v>0</v>
      </c>
      <c r="I3611" t="s">
        <v>22</v>
      </c>
      <c r="J3611" t="s">
        <v>22</v>
      </c>
    </row>
    <row r="3612" spans="1:10" x14ac:dyDescent="0.25">
      <c r="A3612" t="s">
        <v>2267</v>
      </c>
      <c r="B3612" t="s">
        <v>521</v>
      </c>
      <c r="C3612">
        <v>0</v>
      </c>
      <c r="D3612">
        <v>0</v>
      </c>
      <c r="E3612">
        <v>85</v>
      </c>
      <c r="F3612">
        <v>500</v>
      </c>
      <c r="G3612">
        <v>0</v>
      </c>
      <c r="H3612">
        <v>0</v>
      </c>
      <c r="I3612" t="s">
        <v>22</v>
      </c>
      <c r="J3612" t="s">
        <v>22</v>
      </c>
    </row>
    <row r="3613" spans="1:10" x14ac:dyDescent="0.25">
      <c r="A3613" t="s">
        <v>2268</v>
      </c>
      <c r="B3613" t="s">
        <v>1085</v>
      </c>
      <c r="C3613" s="2">
        <v>1530</v>
      </c>
      <c r="D3613">
        <v>0</v>
      </c>
      <c r="E3613">
        <v>0</v>
      </c>
      <c r="F3613" s="2">
        <v>2000</v>
      </c>
      <c r="G3613">
        <v>0</v>
      </c>
      <c r="H3613">
        <v>0</v>
      </c>
      <c r="I3613" t="s">
        <v>22</v>
      </c>
      <c r="J3613" t="s">
        <v>22</v>
      </c>
    </row>
    <row r="3614" spans="1:10" x14ac:dyDescent="0.25">
      <c r="C3614" t="s">
        <v>108</v>
      </c>
      <c r="D3614" t="s">
        <v>108</v>
      </c>
      <c r="E3614" t="s">
        <v>108</v>
      </c>
      <c r="F3614" t="s">
        <v>108</v>
      </c>
      <c r="G3614" t="s">
        <v>108</v>
      </c>
    </row>
    <row r="3615" spans="1:10" x14ac:dyDescent="0.25">
      <c r="H3615" t="s">
        <v>22</v>
      </c>
      <c r="I3615" t="s">
        <v>22</v>
      </c>
      <c r="J3615" t="s">
        <v>22</v>
      </c>
    </row>
    <row r="3616" spans="1:10" x14ac:dyDescent="0.25">
      <c r="A3616" t="s">
        <v>109</v>
      </c>
    </row>
    <row r="3617" spans="1:10" x14ac:dyDescent="0.25">
      <c r="B3617" t="s">
        <v>501</v>
      </c>
      <c r="C3617" s="2">
        <v>132715</v>
      </c>
      <c r="D3617" s="2">
        <v>134923</v>
      </c>
      <c r="E3617" s="2">
        <v>154634</v>
      </c>
      <c r="F3617" s="2">
        <v>292000</v>
      </c>
      <c r="G3617" s="2">
        <v>169441</v>
      </c>
      <c r="H3617">
        <v>0</v>
      </c>
    </row>
    <row r="3619" spans="1:10" x14ac:dyDescent="0.25">
      <c r="A3619" t="s">
        <v>524</v>
      </c>
      <c r="B3619" t="s">
        <v>525</v>
      </c>
    </row>
    <row r="3620" spans="1:10" x14ac:dyDescent="0.25">
      <c r="A3620" t="s">
        <v>18</v>
      </c>
      <c r="B3620" t="s">
        <v>526</v>
      </c>
    </row>
    <row r="3621" spans="1:10" x14ac:dyDescent="0.25">
      <c r="A3621" t="s">
        <v>2269</v>
      </c>
      <c r="B3621" t="s">
        <v>530</v>
      </c>
      <c r="C3621">
        <v>0</v>
      </c>
      <c r="D3621">
        <v>0</v>
      </c>
      <c r="E3621" s="2">
        <v>29566</v>
      </c>
      <c r="F3621">
        <v>0</v>
      </c>
      <c r="G3621">
        <v>0</v>
      </c>
      <c r="H3621">
        <v>0</v>
      </c>
      <c r="I3621" t="s">
        <v>22</v>
      </c>
      <c r="J3621" t="s">
        <v>22</v>
      </c>
    </row>
    <row r="3622" spans="1:10" x14ac:dyDescent="0.25">
      <c r="A3622" t="s">
        <v>2270</v>
      </c>
      <c r="B3622" t="s">
        <v>1885</v>
      </c>
      <c r="C3622">
        <v>0</v>
      </c>
      <c r="D3622">
        <v>0</v>
      </c>
      <c r="E3622">
        <v>0</v>
      </c>
      <c r="F3622">
        <v>0</v>
      </c>
      <c r="G3622">
        <v>0</v>
      </c>
      <c r="H3622">
        <v>0</v>
      </c>
      <c r="I3622" t="s">
        <v>22</v>
      </c>
      <c r="J3622" t="s">
        <v>22</v>
      </c>
    </row>
    <row r="3623" spans="1:10" x14ac:dyDescent="0.25">
      <c r="A3623" t="s">
        <v>2271</v>
      </c>
      <c r="B3623" t="s">
        <v>1282</v>
      </c>
      <c r="C3623">
        <v>0</v>
      </c>
      <c r="D3623">
        <v>0</v>
      </c>
      <c r="E3623" s="2">
        <v>34624</v>
      </c>
      <c r="F3623" s="2">
        <v>30000</v>
      </c>
      <c r="G3623">
        <v>0</v>
      </c>
      <c r="H3623">
        <v>0</v>
      </c>
      <c r="I3623" t="s">
        <v>22</v>
      </c>
      <c r="J3623" t="s">
        <v>22</v>
      </c>
    </row>
    <row r="3624" spans="1:10" x14ac:dyDescent="0.25">
      <c r="A3624" t="s">
        <v>2272</v>
      </c>
      <c r="B3624" t="s">
        <v>534</v>
      </c>
      <c r="C3624">
        <v>0</v>
      </c>
      <c r="D3624">
        <v>0</v>
      </c>
      <c r="E3624">
        <v>0</v>
      </c>
      <c r="F3624">
        <v>0</v>
      </c>
      <c r="G3624">
        <v>0</v>
      </c>
      <c r="H3624">
        <v>0</v>
      </c>
      <c r="I3624" t="s">
        <v>22</v>
      </c>
      <c r="J3624" t="s">
        <v>22</v>
      </c>
    </row>
    <row r="3625" spans="1:10" x14ac:dyDescent="0.25">
      <c r="A3625" t="s">
        <v>2273</v>
      </c>
      <c r="B3625" t="s">
        <v>2274</v>
      </c>
      <c r="C3625">
        <v>0</v>
      </c>
      <c r="D3625">
        <v>0</v>
      </c>
      <c r="E3625">
        <v>0</v>
      </c>
      <c r="F3625">
        <v>0</v>
      </c>
      <c r="G3625">
        <v>0</v>
      </c>
      <c r="H3625">
        <v>0</v>
      </c>
      <c r="I3625" t="s">
        <v>22</v>
      </c>
      <c r="J3625" t="s">
        <v>22</v>
      </c>
    </row>
    <row r="3626" spans="1:10" x14ac:dyDescent="0.25">
      <c r="C3626" t="s">
        <v>108</v>
      </c>
      <c r="D3626" t="s">
        <v>108</v>
      </c>
      <c r="E3626" t="s">
        <v>108</v>
      </c>
      <c r="F3626" t="s">
        <v>108</v>
      </c>
      <c r="G3626" t="s">
        <v>108</v>
      </c>
    </row>
    <row r="3627" spans="1:10" x14ac:dyDescent="0.25">
      <c r="H3627" t="s">
        <v>22</v>
      </c>
      <c r="I3627" t="s">
        <v>22</v>
      </c>
      <c r="J3627" t="s">
        <v>22</v>
      </c>
    </row>
    <row r="3628" spans="1:10" x14ac:dyDescent="0.25">
      <c r="A3628" t="s">
        <v>109</v>
      </c>
    </row>
    <row r="3629" spans="1:10" x14ac:dyDescent="0.25">
      <c r="B3629" t="s">
        <v>530</v>
      </c>
      <c r="C3629">
        <v>0</v>
      </c>
      <c r="D3629">
        <v>0</v>
      </c>
      <c r="E3629" s="2">
        <v>64190</v>
      </c>
      <c r="F3629" s="2">
        <v>30000</v>
      </c>
      <c r="G3629">
        <v>0</v>
      </c>
      <c r="H3629">
        <v>0</v>
      </c>
    </row>
    <row r="3630" spans="1:10" x14ac:dyDescent="0.25">
      <c r="A3630" t="s">
        <v>18</v>
      </c>
      <c r="B3630" t="s">
        <v>19</v>
      </c>
      <c r="C3630" t="s">
        <v>20</v>
      </c>
      <c r="D3630" t="s">
        <v>21</v>
      </c>
      <c r="E3630" t="s">
        <v>26</v>
      </c>
    </row>
    <row r="3631" spans="1:10" x14ac:dyDescent="0.25">
      <c r="E3631" t="s">
        <v>339</v>
      </c>
      <c r="F3631" t="s">
        <v>23</v>
      </c>
      <c r="G3631" t="s">
        <v>24</v>
      </c>
      <c r="H3631" t="s">
        <v>20</v>
      </c>
      <c r="I3631" t="s">
        <v>24</v>
      </c>
      <c r="J3631" t="s">
        <v>20</v>
      </c>
    </row>
    <row r="3632" spans="1:10" x14ac:dyDescent="0.25">
      <c r="A3632" t="s">
        <v>109</v>
      </c>
    </row>
    <row r="3633" spans="1:10" x14ac:dyDescent="0.25">
      <c r="A3633">
        <v>65</v>
      </c>
      <c r="B3633" t="e">
        <f>-WATER PLANT ONE</f>
        <v>#NAME?</v>
      </c>
      <c r="C3633" s="2">
        <v>449353</v>
      </c>
      <c r="D3633" s="2">
        <v>363433</v>
      </c>
      <c r="E3633" s="2">
        <v>376517</v>
      </c>
      <c r="F3633" s="2">
        <v>738761</v>
      </c>
      <c r="G3633" s="2">
        <v>773733</v>
      </c>
      <c r="H3633">
        <v>0</v>
      </c>
    </row>
    <row r="3634" spans="1:10" x14ac:dyDescent="0.25">
      <c r="A3634" t="s">
        <v>110</v>
      </c>
    </row>
    <row r="3635" spans="1:10" x14ac:dyDescent="0.25">
      <c r="A3635" s="1">
        <v>43991</v>
      </c>
      <c r="B3635" t="s">
        <v>1615</v>
      </c>
      <c r="D3635" t="s">
        <v>112</v>
      </c>
      <c r="E3635" t="s">
        <v>113</v>
      </c>
      <c r="F3635" t="s">
        <v>114</v>
      </c>
      <c r="J3635" t="s">
        <v>748</v>
      </c>
    </row>
    <row r="3636" spans="1:10" x14ac:dyDescent="0.25">
      <c r="D3636" t="s">
        <v>116</v>
      </c>
      <c r="E3636" t="s">
        <v>117</v>
      </c>
      <c r="F3636" t="s">
        <v>118</v>
      </c>
    </row>
    <row r="3637" spans="1:10" x14ac:dyDescent="0.25">
      <c r="D3637" t="s">
        <v>119</v>
      </c>
      <c r="E3637" t="s">
        <v>120</v>
      </c>
      <c r="F3637" t="s">
        <v>121</v>
      </c>
    </row>
    <row r="3638" spans="1:10" x14ac:dyDescent="0.25">
      <c r="A3638" t="s">
        <v>1906</v>
      </c>
      <c r="B3638" t="s">
        <v>1907</v>
      </c>
    </row>
    <row r="3639" spans="1:10" x14ac:dyDescent="0.25">
      <c r="A3639" t="s">
        <v>386</v>
      </c>
    </row>
    <row r="3640" spans="1:10" x14ac:dyDescent="0.25">
      <c r="F3640" t="s">
        <v>2</v>
      </c>
      <c r="G3640" t="s">
        <v>3</v>
      </c>
      <c r="H3640" t="s">
        <v>4</v>
      </c>
      <c r="I3640" t="s">
        <v>5</v>
      </c>
      <c r="J3640" t="s">
        <v>6</v>
      </c>
    </row>
    <row r="3641" spans="1:10" x14ac:dyDescent="0.25">
      <c r="C3641" t="s">
        <v>7</v>
      </c>
      <c r="D3641" t="s">
        <v>8</v>
      </c>
      <c r="E3641" t="s">
        <v>9</v>
      </c>
      <c r="F3641" t="s">
        <v>10</v>
      </c>
      <c r="G3641" t="s">
        <v>124</v>
      </c>
      <c r="H3641" t="s">
        <v>12</v>
      </c>
      <c r="I3641" t="s">
        <v>13</v>
      </c>
      <c r="J3641" t="s">
        <v>14</v>
      </c>
    </row>
    <row r="3642" spans="1:10" x14ac:dyDescent="0.25">
      <c r="C3642" t="s">
        <v>15</v>
      </c>
      <c r="D3642" t="s">
        <v>15</v>
      </c>
      <c r="E3642" t="s">
        <v>15</v>
      </c>
      <c r="F3642" t="s">
        <v>16</v>
      </c>
      <c r="G3642" t="s">
        <v>15</v>
      </c>
      <c r="H3642" t="s">
        <v>17</v>
      </c>
      <c r="I3642" t="s">
        <v>16</v>
      </c>
      <c r="J3642" t="s">
        <v>16</v>
      </c>
    </row>
    <row r="3643" spans="1:10" x14ac:dyDescent="0.25">
      <c r="A3643" t="s">
        <v>18</v>
      </c>
      <c r="B3643" t="s">
        <v>19</v>
      </c>
      <c r="C3643" t="s">
        <v>20</v>
      </c>
      <c r="D3643" t="s">
        <v>21</v>
      </c>
      <c r="E3643" t="s">
        <v>22</v>
      </c>
      <c r="F3643" t="s">
        <v>23</v>
      </c>
      <c r="G3643" t="s">
        <v>24</v>
      </c>
      <c r="H3643" t="s">
        <v>20</v>
      </c>
      <c r="I3643" t="s">
        <v>24</v>
      </c>
      <c r="J3643" t="s">
        <v>20</v>
      </c>
    </row>
    <row r="3645" spans="1:10" x14ac:dyDescent="0.25">
      <c r="A3645" t="s">
        <v>2275</v>
      </c>
      <c r="B3645" t="s">
        <v>2276</v>
      </c>
    </row>
    <row r="3646" spans="1:10" x14ac:dyDescent="0.25">
      <c r="A3646" t="s">
        <v>389</v>
      </c>
      <c r="B3646" t="s">
        <v>982</v>
      </c>
    </row>
    <row r="3648" spans="1:10" x14ac:dyDescent="0.25">
      <c r="A3648" t="s">
        <v>391</v>
      </c>
      <c r="B3648" t="s">
        <v>392</v>
      </c>
    </row>
    <row r="3649" spans="1:10" x14ac:dyDescent="0.25">
      <c r="A3649" t="s">
        <v>18</v>
      </c>
      <c r="B3649" t="s">
        <v>228</v>
      </c>
    </row>
    <row r="3650" spans="1:10" x14ac:dyDescent="0.25">
      <c r="A3650" t="s">
        <v>2277</v>
      </c>
      <c r="B3650" t="s">
        <v>2278</v>
      </c>
      <c r="C3650" s="2">
        <v>1160</v>
      </c>
      <c r="D3650">
        <v>-516</v>
      </c>
      <c r="E3650">
        <v>0</v>
      </c>
      <c r="F3650">
        <v>0</v>
      </c>
      <c r="G3650">
        <v>0</v>
      </c>
      <c r="H3650">
        <v>0</v>
      </c>
      <c r="I3650" t="s">
        <v>22</v>
      </c>
      <c r="J3650" t="s">
        <v>22</v>
      </c>
    </row>
    <row r="3651" spans="1:10" x14ac:dyDescent="0.25">
      <c r="A3651" t="s">
        <v>2279</v>
      </c>
      <c r="B3651" t="s">
        <v>396</v>
      </c>
      <c r="C3651">
        <v>9</v>
      </c>
      <c r="D3651">
        <v>9</v>
      </c>
      <c r="E3651">
        <v>117</v>
      </c>
      <c r="F3651">
        <v>252</v>
      </c>
      <c r="G3651">
        <v>0</v>
      </c>
      <c r="H3651">
        <v>0</v>
      </c>
      <c r="I3651" t="s">
        <v>22</v>
      </c>
      <c r="J3651" t="s">
        <v>22</v>
      </c>
    </row>
    <row r="3652" spans="1:10" x14ac:dyDescent="0.25">
      <c r="A3652" t="s">
        <v>2280</v>
      </c>
      <c r="B3652" t="s">
        <v>398</v>
      </c>
      <c r="C3652" s="2">
        <v>4295</v>
      </c>
      <c r="D3652" s="2">
        <v>4686</v>
      </c>
      <c r="E3652" s="2">
        <v>4589</v>
      </c>
      <c r="F3652" s="2">
        <v>4570</v>
      </c>
      <c r="G3652" s="2">
        <v>3277</v>
      </c>
      <c r="H3652">
        <v>0</v>
      </c>
      <c r="I3652" t="s">
        <v>22</v>
      </c>
      <c r="J3652" t="s">
        <v>22</v>
      </c>
    </row>
    <row r="3653" spans="1:10" x14ac:dyDescent="0.25">
      <c r="A3653" t="s">
        <v>2281</v>
      </c>
      <c r="B3653" t="s">
        <v>400</v>
      </c>
      <c r="C3653" s="2">
        <v>4754</v>
      </c>
      <c r="D3653" s="2">
        <v>5257</v>
      </c>
      <c r="E3653" s="2">
        <v>5535</v>
      </c>
      <c r="F3653" s="2">
        <v>5670</v>
      </c>
      <c r="G3653" s="2">
        <v>3900</v>
      </c>
      <c r="H3653">
        <v>0</v>
      </c>
      <c r="I3653" t="s">
        <v>22</v>
      </c>
      <c r="J3653" t="s">
        <v>22</v>
      </c>
    </row>
    <row r="3654" spans="1:10" x14ac:dyDescent="0.25">
      <c r="A3654" t="s">
        <v>2282</v>
      </c>
      <c r="B3654" t="s">
        <v>574</v>
      </c>
      <c r="C3654" s="2">
        <v>14868</v>
      </c>
      <c r="D3654" s="2">
        <v>16591</v>
      </c>
      <c r="E3654" s="2">
        <v>17418</v>
      </c>
      <c r="F3654" s="2">
        <v>17379</v>
      </c>
      <c r="G3654" s="2">
        <v>13163</v>
      </c>
      <c r="H3654">
        <v>0</v>
      </c>
      <c r="I3654" t="s">
        <v>22</v>
      </c>
      <c r="J3654" t="s">
        <v>22</v>
      </c>
    </row>
    <row r="3655" spans="1:10" x14ac:dyDescent="0.25">
      <c r="A3655" t="s">
        <v>2283</v>
      </c>
      <c r="B3655" t="s">
        <v>404</v>
      </c>
      <c r="C3655">
        <v>664</v>
      </c>
      <c r="D3655">
        <v>663</v>
      </c>
      <c r="E3655">
        <v>659</v>
      </c>
      <c r="F3655">
        <v>654</v>
      </c>
      <c r="G3655">
        <v>404</v>
      </c>
      <c r="H3655">
        <v>0</v>
      </c>
      <c r="I3655" t="s">
        <v>22</v>
      </c>
      <c r="J3655" t="s">
        <v>22</v>
      </c>
    </row>
    <row r="3656" spans="1:10" x14ac:dyDescent="0.25">
      <c r="A3656" t="s">
        <v>2284</v>
      </c>
      <c r="B3656" t="s">
        <v>406</v>
      </c>
      <c r="C3656" s="2">
        <v>1307</v>
      </c>
      <c r="D3656">
        <v>887</v>
      </c>
      <c r="E3656" s="2">
        <v>1622</v>
      </c>
      <c r="F3656" s="2">
        <v>1784</v>
      </c>
      <c r="G3656" s="2">
        <v>2083</v>
      </c>
      <c r="H3656">
        <v>0</v>
      </c>
      <c r="I3656" t="s">
        <v>22</v>
      </c>
      <c r="J3656" t="s">
        <v>22</v>
      </c>
    </row>
    <row r="3657" spans="1:10" x14ac:dyDescent="0.25">
      <c r="A3657" t="s">
        <v>2285</v>
      </c>
      <c r="B3657" t="s">
        <v>424</v>
      </c>
      <c r="C3657">
        <v>415</v>
      </c>
      <c r="D3657">
        <v>450</v>
      </c>
      <c r="E3657">
        <v>450</v>
      </c>
      <c r="F3657">
        <v>484</v>
      </c>
      <c r="G3657">
        <v>346</v>
      </c>
      <c r="H3657">
        <v>0</v>
      </c>
      <c r="I3657" t="s">
        <v>22</v>
      </c>
      <c r="J3657" t="s">
        <v>22</v>
      </c>
    </row>
    <row r="3658" spans="1:10" x14ac:dyDescent="0.25">
      <c r="A3658" t="s">
        <v>2286</v>
      </c>
      <c r="B3658" t="s">
        <v>426</v>
      </c>
      <c r="C3658">
        <v>405</v>
      </c>
      <c r="D3658">
        <v>405</v>
      </c>
      <c r="E3658">
        <v>405</v>
      </c>
      <c r="F3658">
        <v>405</v>
      </c>
      <c r="G3658">
        <v>415</v>
      </c>
      <c r="H3658">
        <v>0</v>
      </c>
      <c r="I3658" t="s">
        <v>22</v>
      </c>
      <c r="J3658" t="s">
        <v>22</v>
      </c>
    </row>
    <row r="3659" spans="1:10" x14ac:dyDescent="0.25">
      <c r="A3659" t="s">
        <v>2287</v>
      </c>
      <c r="B3659" t="s">
        <v>1204</v>
      </c>
      <c r="C3659">
        <v>180</v>
      </c>
      <c r="D3659">
        <v>180</v>
      </c>
      <c r="E3659">
        <v>180</v>
      </c>
      <c r="F3659">
        <v>180</v>
      </c>
      <c r="G3659">
        <v>180</v>
      </c>
      <c r="H3659">
        <v>0</v>
      </c>
      <c r="I3659" t="s">
        <v>22</v>
      </c>
      <c r="J3659" t="s">
        <v>22</v>
      </c>
    </row>
    <row r="3660" spans="1:10" x14ac:dyDescent="0.25">
      <c r="A3660" t="s">
        <v>2288</v>
      </c>
      <c r="B3660" t="s">
        <v>428</v>
      </c>
      <c r="C3660">
        <v>0</v>
      </c>
      <c r="D3660">
        <v>0</v>
      </c>
      <c r="E3660">
        <v>0</v>
      </c>
      <c r="F3660">
        <v>0</v>
      </c>
      <c r="G3660">
        <v>162</v>
      </c>
      <c r="H3660">
        <v>0</v>
      </c>
      <c r="I3660" t="s">
        <v>22</v>
      </c>
      <c r="J3660" t="s">
        <v>22</v>
      </c>
    </row>
    <row r="3661" spans="1:10" x14ac:dyDescent="0.25">
      <c r="A3661" t="s">
        <v>2289</v>
      </c>
      <c r="B3661" t="s">
        <v>430</v>
      </c>
      <c r="C3661">
        <v>35</v>
      </c>
      <c r="D3661">
        <v>35</v>
      </c>
      <c r="E3661">
        <v>35</v>
      </c>
      <c r="F3661">
        <v>35</v>
      </c>
      <c r="G3661">
        <v>35</v>
      </c>
      <c r="H3661">
        <v>0</v>
      </c>
      <c r="I3661" t="s">
        <v>22</v>
      </c>
      <c r="J3661" t="s">
        <v>22</v>
      </c>
    </row>
    <row r="3662" spans="1:10" x14ac:dyDescent="0.25">
      <c r="A3662" t="s">
        <v>2290</v>
      </c>
      <c r="B3662" t="s">
        <v>432</v>
      </c>
      <c r="C3662" s="2">
        <v>3822</v>
      </c>
      <c r="D3662" s="2">
        <v>6655</v>
      </c>
      <c r="E3662" s="2">
        <v>5276</v>
      </c>
      <c r="F3662" s="2">
        <v>6500</v>
      </c>
      <c r="G3662" s="2">
        <v>5413</v>
      </c>
      <c r="H3662">
        <v>0</v>
      </c>
      <c r="I3662" t="s">
        <v>22</v>
      </c>
      <c r="J3662" t="s">
        <v>22</v>
      </c>
    </row>
    <row r="3663" spans="1:10" x14ac:dyDescent="0.25">
      <c r="A3663" t="s">
        <v>2291</v>
      </c>
      <c r="B3663" t="s">
        <v>434</v>
      </c>
      <c r="C3663">
        <v>0</v>
      </c>
      <c r="D3663">
        <v>0</v>
      </c>
      <c r="E3663">
        <v>0</v>
      </c>
      <c r="F3663">
        <v>0</v>
      </c>
      <c r="G3663">
        <v>0</v>
      </c>
      <c r="H3663">
        <v>0</v>
      </c>
      <c r="I3663" t="s">
        <v>22</v>
      </c>
      <c r="J3663" t="s">
        <v>22</v>
      </c>
    </row>
    <row r="3664" spans="1:10" x14ac:dyDescent="0.25">
      <c r="A3664" t="s">
        <v>2292</v>
      </c>
      <c r="B3664" t="s">
        <v>436</v>
      </c>
      <c r="C3664">
        <v>0</v>
      </c>
      <c r="D3664">
        <v>0</v>
      </c>
      <c r="E3664">
        <v>0</v>
      </c>
      <c r="F3664">
        <v>0</v>
      </c>
      <c r="G3664">
        <v>0</v>
      </c>
      <c r="H3664">
        <v>0</v>
      </c>
      <c r="I3664" t="s">
        <v>22</v>
      </c>
      <c r="J3664" t="s">
        <v>22</v>
      </c>
    </row>
    <row r="3665" spans="1:10" x14ac:dyDescent="0.25">
      <c r="A3665" t="s">
        <v>2293</v>
      </c>
      <c r="B3665" t="s">
        <v>607</v>
      </c>
      <c r="C3665">
        <v>0</v>
      </c>
      <c r="D3665">
        <v>0</v>
      </c>
      <c r="E3665">
        <v>0</v>
      </c>
      <c r="F3665">
        <v>0</v>
      </c>
      <c r="G3665">
        <v>0</v>
      </c>
      <c r="H3665">
        <v>0</v>
      </c>
      <c r="I3665" t="s">
        <v>22</v>
      </c>
      <c r="J3665" t="s">
        <v>22</v>
      </c>
    </row>
    <row r="3666" spans="1:10" x14ac:dyDescent="0.25">
      <c r="A3666" t="s">
        <v>2294</v>
      </c>
      <c r="B3666" t="s">
        <v>2295</v>
      </c>
      <c r="C3666" s="2">
        <v>52681</v>
      </c>
      <c r="D3666" s="2">
        <v>55438</v>
      </c>
      <c r="E3666" s="2">
        <v>55557</v>
      </c>
      <c r="F3666" s="2">
        <v>58640</v>
      </c>
      <c r="G3666" s="2">
        <v>38246</v>
      </c>
      <c r="H3666">
        <v>0</v>
      </c>
      <c r="I3666" t="s">
        <v>22</v>
      </c>
      <c r="J3666" t="s">
        <v>22</v>
      </c>
    </row>
    <row r="3667" spans="1:10" x14ac:dyDescent="0.25">
      <c r="A3667" t="s">
        <v>2296</v>
      </c>
      <c r="B3667" t="s">
        <v>1221</v>
      </c>
      <c r="C3667">
        <v>900</v>
      </c>
      <c r="D3667">
        <v>600</v>
      </c>
      <c r="E3667">
        <v>600</v>
      </c>
      <c r="F3667">
        <v>0</v>
      </c>
      <c r="G3667">
        <v>675</v>
      </c>
      <c r="H3667">
        <v>0</v>
      </c>
      <c r="I3667" t="s">
        <v>22</v>
      </c>
      <c r="J3667" t="s">
        <v>22</v>
      </c>
    </row>
    <row r="3668" spans="1:10" x14ac:dyDescent="0.25">
      <c r="C3668" t="s">
        <v>108</v>
      </c>
      <c r="D3668" t="s">
        <v>108</v>
      </c>
      <c r="E3668" t="s">
        <v>108</v>
      </c>
      <c r="F3668" t="s">
        <v>108</v>
      </c>
      <c r="G3668" t="s">
        <v>108</v>
      </c>
    </row>
    <row r="3669" spans="1:10" x14ac:dyDescent="0.25">
      <c r="H3669" t="s">
        <v>22</v>
      </c>
      <c r="I3669" t="s">
        <v>22</v>
      </c>
      <c r="J3669" t="s">
        <v>22</v>
      </c>
    </row>
    <row r="3670" spans="1:10" x14ac:dyDescent="0.25">
      <c r="A3670" t="s">
        <v>109</v>
      </c>
    </row>
    <row r="3671" spans="1:10" x14ac:dyDescent="0.25">
      <c r="B3671" t="s">
        <v>441</v>
      </c>
      <c r="C3671" s="2">
        <v>85494</v>
      </c>
      <c r="D3671" s="2">
        <v>91339</v>
      </c>
      <c r="E3671" s="2">
        <v>92442</v>
      </c>
      <c r="F3671" s="2">
        <v>96553</v>
      </c>
      <c r="G3671" s="2">
        <v>68298</v>
      </c>
      <c r="H3671">
        <v>0</v>
      </c>
    </row>
    <row r="3673" spans="1:10" x14ac:dyDescent="0.25">
      <c r="A3673" t="s">
        <v>442</v>
      </c>
      <c r="B3673" t="s">
        <v>443</v>
      </c>
    </row>
    <row r="3674" spans="1:10" x14ac:dyDescent="0.25">
      <c r="A3674" t="s">
        <v>18</v>
      </c>
      <c r="B3674" t="s">
        <v>21</v>
      </c>
    </row>
    <row r="3675" spans="1:10" x14ac:dyDescent="0.25">
      <c r="A3675" t="s">
        <v>2297</v>
      </c>
      <c r="B3675" t="s">
        <v>445</v>
      </c>
      <c r="C3675" s="2">
        <v>7949</v>
      </c>
      <c r="D3675" s="2">
        <v>6796</v>
      </c>
      <c r="E3675" s="2">
        <v>9753</v>
      </c>
      <c r="F3675" s="2">
        <v>10728</v>
      </c>
      <c r="G3675" s="2">
        <v>11430</v>
      </c>
      <c r="H3675">
        <v>0</v>
      </c>
      <c r="I3675" t="s">
        <v>22</v>
      </c>
      <c r="J3675" t="s">
        <v>22</v>
      </c>
    </row>
    <row r="3676" spans="1:10" x14ac:dyDescent="0.25">
      <c r="A3676" t="s">
        <v>2298</v>
      </c>
      <c r="B3676" t="s">
        <v>447</v>
      </c>
      <c r="C3676" s="2">
        <v>2349</v>
      </c>
      <c r="D3676">
        <v>624</v>
      </c>
      <c r="E3676">
        <v>269</v>
      </c>
      <c r="F3676">
        <v>500</v>
      </c>
      <c r="G3676">
        <v>195</v>
      </c>
      <c r="H3676">
        <v>0</v>
      </c>
      <c r="I3676" t="s">
        <v>22</v>
      </c>
      <c r="J3676" t="s">
        <v>22</v>
      </c>
    </row>
    <row r="3677" spans="1:10" x14ac:dyDescent="0.25">
      <c r="A3677" t="s">
        <v>2299</v>
      </c>
      <c r="B3677" t="s">
        <v>449</v>
      </c>
      <c r="C3677">
        <v>325</v>
      </c>
      <c r="D3677">
        <v>417</v>
      </c>
      <c r="E3677">
        <v>0</v>
      </c>
      <c r="F3677">
        <v>350</v>
      </c>
      <c r="G3677">
        <v>0</v>
      </c>
      <c r="H3677">
        <v>0</v>
      </c>
      <c r="I3677" t="s">
        <v>22</v>
      </c>
      <c r="J3677" t="s">
        <v>22</v>
      </c>
    </row>
    <row r="3678" spans="1:10" x14ac:dyDescent="0.25">
      <c r="A3678" t="s">
        <v>2300</v>
      </c>
      <c r="B3678" t="s">
        <v>451</v>
      </c>
      <c r="C3678">
        <v>575</v>
      </c>
      <c r="D3678">
        <v>931</v>
      </c>
      <c r="E3678">
        <v>50</v>
      </c>
      <c r="F3678" s="2">
        <v>1000</v>
      </c>
      <c r="G3678">
        <v>264</v>
      </c>
      <c r="H3678">
        <v>0</v>
      </c>
      <c r="I3678" t="s">
        <v>22</v>
      </c>
      <c r="J3678" t="s">
        <v>22</v>
      </c>
    </row>
    <row r="3679" spans="1:10" x14ac:dyDescent="0.25">
      <c r="A3679" t="s">
        <v>2301</v>
      </c>
      <c r="B3679" t="s">
        <v>457</v>
      </c>
      <c r="C3679" s="2">
        <v>1250</v>
      </c>
      <c r="D3679" s="2">
        <v>5232</v>
      </c>
      <c r="E3679" s="2">
        <v>4649</v>
      </c>
      <c r="F3679" s="2">
        <v>6000</v>
      </c>
      <c r="G3679" s="2">
        <v>6200</v>
      </c>
      <c r="H3679">
        <v>0</v>
      </c>
      <c r="I3679" t="s">
        <v>22</v>
      </c>
      <c r="J3679" t="s">
        <v>22</v>
      </c>
    </row>
    <row r="3680" spans="1:10" x14ac:dyDescent="0.25">
      <c r="A3680" t="s">
        <v>2302</v>
      </c>
      <c r="B3680" t="s">
        <v>465</v>
      </c>
      <c r="C3680">
        <v>0</v>
      </c>
      <c r="D3680">
        <v>0</v>
      </c>
      <c r="E3680">
        <v>0</v>
      </c>
      <c r="F3680">
        <v>0</v>
      </c>
      <c r="G3680">
        <v>0</v>
      </c>
      <c r="H3680">
        <v>0</v>
      </c>
      <c r="I3680" t="s">
        <v>22</v>
      </c>
      <c r="J3680" t="s">
        <v>22</v>
      </c>
    </row>
    <row r="3681" spans="1:10" x14ac:dyDescent="0.25">
      <c r="A3681" t="s">
        <v>2303</v>
      </c>
      <c r="B3681" t="s">
        <v>471</v>
      </c>
      <c r="C3681">
        <v>637</v>
      </c>
      <c r="D3681">
        <v>852</v>
      </c>
      <c r="E3681">
        <v>630</v>
      </c>
      <c r="F3681">
        <v>750</v>
      </c>
      <c r="G3681">
        <v>555</v>
      </c>
      <c r="H3681">
        <v>0</v>
      </c>
      <c r="I3681" t="s">
        <v>22</v>
      </c>
      <c r="J3681" t="s">
        <v>22</v>
      </c>
    </row>
    <row r="3682" spans="1:10" x14ac:dyDescent="0.25">
      <c r="A3682" t="s">
        <v>2304</v>
      </c>
      <c r="B3682" t="s">
        <v>1047</v>
      </c>
      <c r="C3682" s="2">
        <v>86074</v>
      </c>
      <c r="D3682" s="2">
        <v>81356</v>
      </c>
      <c r="E3682" s="2">
        <v>89120</v>
      </c>
      <c r="F3682" s="2">
        <v>100000</v>
      </c>
      <c r="G3682" s="2">
        <v>58857</v>
      </c>
      <c r="H3682">
        <v>0</v>
      </c>
      <c r="I3682" t="s">
        <v>22</v>
      </c>
      <c r="J3682" t="s">
        <v>22</v>
      </c>
    </row>
    <row r="3683" spans="1:10" x14ac:dyDescent="0.25">
      <c r="A3683" t="s">
        <v>2305</v>
      </c>
      <c r="B3683" t="s">
        <v>473</v>
      </c>
      <c r="C3683" s="2">
        <v>17080</v>
      </c>
      <c r="D3683" s="2">
        <v>28303</v>
      </c>
      <c r="E3683" s="2">
        <v>532625</v>
      </c>
      <c r="F3683" s="2">
        <v>55000</v>
      </c>
      <c r="G3683" s="2">
        <v>75352</v>
      </c>
      <c r="H3683">
        <v>0</v>
      </c>
      <c r="I3683" t="s">
        <v>22</v>
      </c>
      <c r="J3683" t="s">
        <v>22</v>
      </c>
    </row>
    <row r="3684" spans="1:10" x14ac:dyDescent="0.25">
      <c r="A3684" t="s">
        <v>2306</v>
      </c>
      <c r="B3684" t="s">
        <v>1241</v>
      </c>
      <c r="C3684" s="2">
        <v>10314</v>
      </c>
      <c r="D3684" s="2">
        <v>7026</v>
      </c>
      <c r="E3684">
        <v>0</v>
      </c>
      <c r="F3684">
        <v>0</v>
      </c>
      <c r="G3684">
        <v>0</v>
      </c>
      <c r="H3684">
        <v>0</v>
      </c>
      <c r="I3684" t="s">
        <v>22</v>
      </c>
      <c r="J3684" t="s">
        <v>22</v>
      </c>
    </row>
    <row r="3685" spans="1:10" x14ac:dyDescent="0.25">
      <c r="A3685" t="s">
        <v>2307</v>
      </c>
      <c r="B3685" t="s">
        <v>626</v>
      </c>
      <c r="C3685" s="2">
        <v>1392</v>
      </c>
      <c r="D3685">
        <v>674</v>
      </c>
      <c r="E3685" s="2">
        <v>1427</v>
      </c>
      <c r="F3685" s="2">
        <v>1200</v>
      </c>
      <c r="G3685">
        <v>19</v>
      </c>
      <c r="H3685">
        <v>0</v>
      </c>
      <c r="I3685" t="s">
        <v>22</v>
      </c>
      <c r="J3685" t="s">
        <v>22</v>
      </c>
    </row>
    <row r="3686" spans="1:10" x14ac:dyDescent="0.25">
      <c r="A3686" t="s">
        <v>2308</v>
      </c>
      <c r="B3686" t="s">
        <v>1246</v>
      </c>
      <c r="C3686">
        <v>0</v>
      </c>
      <c r="D3686">
        <v>0</v>
      </c>
      <c r="E3686">
        <v>0</v>
      </c>
      <c r="F3686">
        <v>0</v>
      </c>
      <c r="G3686">
        <v>517</v>
      </c>
      <c r="H3686">
        <v>0</v>
      </c>
      <c r="I3686" t="s">
        <v>22</v>
      </c>
      <c r="J3686" t="s">
        <v>22</v>
      </c>
    </row>
    <row r="3687" spans="1:10" x14ac:dyDescent="0.25">
      <c r="A3687" t="s">
        <v>2309</v>
      </c>
      <c r="B3687" t="s">
        <v>762</v>
      </c>
      <c r="C3687">
        <v>0</v>
      </c>
      <c r="D3687">
        <v>0</v>
      </c>
      <c r="E3687">
        <v>0</v>
      </c>
      <c r="F3687" s="2">
        <v>1500</v>
      </c>
      <c r="G3687">
        <v>0</v>
      </c>
      <c r="H3687">
        <v>0</v>
      </c>
      <c r="I3687" t="s">
        <v>22</v>
      </c>
      <c r="J3687" t="s">
        <v>22</v>
      </c>
    </row>
    <row r="3688" spans="1:10" x14ac:dyDescent="0.25">
      <c r="C3688" t="s">
        <v>108</v>
      </c>
      <c r="D3688" t="s">
        <v>108</v>
      </c>
      <c r="E3688" t="s">
        <v>108</v>
      </c>
      <c r="F3688" t="s">
        <v>108</v>
      </c>
      <c r="G3688" t="s">
        <v>108</v>
      </c>
    </row>
    <row r="3689" spans="1:10" x14ac:dyDescent="0.25">
      <c r="H3689" t="s">
        <v>22</v>
      </c>
      <c r="I3689" t="s">
        <v>22</v>
      </c>
      <c r="J3689" t="s">
        <v>22</v>
      </c>
    </row>
    <row r="3690" spans="1:10" x14ac:dyDescent="0.25">
      <c r="A3690" t="s">
        <v>109</v>
      </c>
    </row>
    <row r="3691" spans="1:10" x14ac:dyDescent="0.25">
      <c r="B3691" t="s">
        <v>478</v>
      </c>
      <c r="C3691" s="2">
        <v>127944</v>
      </c>
      <c r="D3691" s="2">
        <v>132212</v>
      </c>
      <c r="E3691" s="2">
        <v>638523</v>
      </c>
      <c r="F3691" s="2">
        <v>177028</v>
      </c>
      <c r="G3691" s="2">
        <v>153388</v>
      </c>
      <c r="H3691">
        <v>0</v>
      </c>
    </row>
    <row r="3693" spans="1:10" x14ac:dyDescent="0.25">
      <c r="A3693" t="s">
        <v>489</v>
      </c>
    </row>
    <row r="3694" spans="1:10" x14ac:dyDescent="0.25">
      <c r="A3694" t="s">
        <v>18</v>
      </c>
    </row>
    <row r="3695" spans="1:10" x14ac:dyDescent="0.25">
      <c r="A3695" t="s">
        <v>2310</v>
      </c>
      <c r="B3695" t="s">
        <v>489</v>
      </c>
      <c r="C3695" s="2">
        <v>3962</v>
      </c>
      <c r="D3695" s="2">
        <v>8187</v>
      </c>
      <c r="E3695" s="2">
        <v>5561</v>
      </c>
      <c r="F3695" s="2">
        <v>5000</v>
      </c>
      <c r="G3695" s="2">
        <v>3004</v>
      </c>
      <c r="H3695">
        <v>0</v>
      </c>
      <c r="I3695" t="s">
        <v>22</v>
      </c>
      <c r="J3695" t="s">
        <v>22</v>
      </c>
    </row>
    <row r="3696" spans="1:10" x14ac:dyDescent="0.25">
      <c r="A3696" t="s">
        <v>2311</v>
      </c>
      <c r="B3696" t="s">
        <v>1252</v>
      </c>
      <c r="C3696">
        <v>0</v>
      </c>
      <c r="D3696">
        <v>50</v>
      </c>
      <c r="E3696" s="2">
        <v>1876</v>
      </c>
      <c r="F3696" s="2">
        <v>1000</v>
      </c>
      <c r="G3696">
        <v>104</v>
      </c>
      <c r="H3696">
        <v>0</v>
      </c>
      <c r="I3696" t="s">
        <v>22</v>
      </c>
      <c r="J3696" t="s">
        <v>22</v>
      </c>
    </row>
    <row r="3697" spans="1:10" x14ac:dyDescent="0.25">
      <c r="A3697" t="s">
        <v>2312</v>
      </c>
      <c r="B3697" t="s">
        <v>496</v>
      </c>
      <c r="C3697" s="2">
        <v>5848</v>
      </c>
      <c r="D3697" s="2">
        <v>2589</v>
      </c>
      <c r="E3697" s="2">
        <v>2435</v>
      </c>
      <c r="F3697" s="2">
        <v>3000</v>
      </c>
      <c r="G3697" s="2">
        <v>1393</v>
      </c>
      <c r="H3697">
        <v>0</v>
      </c>
      <c r="I3697" t="s">
        <v>22</v>
      </c>
      <c r="J3697" t="s">
        <v>22</v>
      </c>
    </row>
    <row r="3698" spans="1:10" x14ac:dyDescent="0.25">
      <c r="A3698" t="s">
        <v>2313</v>
      </c>
      <c r="B3698" t="s">
        <v>1259</v>
      </c>
      <c r="C3698" s="2">
        <v>41948</v>
      </c>
      <c r="D3698" s="2">
        <v>58713</v>
      </c>
      <c r="E3698" s="2">
        <v>37862</v>
      </c>
      <c r="F3698" s="2">
        <v>65000</v>
      </c>
      <c r="G3698" s="2">
        <v>17200</v>
      </c>
      <c r="H3698">
        <v>0</v>
      </c>
      <c r="I3698" t="s">
        <v>22</v>
      </c>
      <c r="J3698" t="s">
        <v>22</v>
      </c>
    </row>
    <row r="3699" spans="1:10" x14ac:dyDescent="0.25">
      <c r="A3699" t="s">
        <v>2314</v>
      </c>
      <c r="B3699" t="s">
        <v>498</v>
      </c>
      <c r="C3699">
        <v>0</v>
      </c>
      <c r="D3699">
        <v>0</v>
      </c>
      <c r="E3699">
        <v>0</v>
      </c>
      <c r="F3699">
        <v>0</v>
      </c>
      <c r="G3699">
        <v>0</v>
      </c>
      <c r="H3699">
        <v>0</v>
      </c>
      <c r="I3699" t="s">
        <v>22</v>
      </c>
      <c r="J3699" t="s">
        <v>22</v>
      </c>
    </row>
    <row r="3700" spans="1:10" x14ac:dyDescent="0.25">
      <c r="A3700" t="s">
        <v>2315</v>
      </c>
      <c r="B3700" t="s">
        <v>500</v>
      </c>
      <c r="C3700">
        <v>0</v>
      </c>
      <c r="D3700">
        <v>0</v>
      </c>
      <c r="E3700">
        <v>0</v>
      </c>
      <c r="F3700">
        <v>0</v>
      </c>
      <c r="G3700">
        <v>0</v>
      </c>
      <c r="H3700">
        <v>0</v>
      </c>
      <c r="I3700" t="s">
        <v>22</v>
      </c>
      <c r="J3700" t="s">
        <v>22</v>
      </c>
    </row>
    <row r="3701" spans="1:10" x14ac:dyDescent="0.25">
      <c r="C3701" t="s">
        <v>108</v>
      </c>
      <c r="D3701" t="s">
        <v>108</v>
      </c>
      <c r="E3701" t="s">
        <v>108</v>
      </c>
      <c r="F3701" t="s">
        <v>108</v>
      </c>
      <c r="G3701" t="s">
        <v>108</v>
      </c>
    </row>
    <row r="3702" spans="1:10" x14ac:dyDescent="0.25">
      <c r="H3702" t="s">
        <v>22</v>
      </c>
      <c r="I3702" t="s">
        <v>22</v>
      </c>
      <c r="J3702" t="s">
        <v>22</v>
      </c>
    </row>
    <row r="3703" spans="1:10" x14ac:dyDescent="0.25">
      <c r="A3703" t="s">
        <v>109</v>
      </c>
    </row>
    <row r="3704" spans="1:10" x14ac:dyDescent="0.25">
      <c r="B3704" t="s">
        <v>489</v>
      </c>
      <c r="C3704" s="2">
        <v>51758</v>
      </c>
      <c r="D3704" s="2">
        <v>69539</v>
      </c>
      <c r="E3704" s="2">
        <v>47734</v>
      </c>
      <c r="F3704" s="2">
        <v>74000</v>
      </c>
      <c r="G3704" s="2">
        <v>21700</v>
      </c>
      <c r="H3704">
        <v>0</v>
      </c>
    </row>
    <row r="3705" spans="1:10" x14ac:dyDescent="0.25">
      <c r="A3705" t="s">
        <v>110</v>
      </c>
    </row>
    <row r="3706" spans="1:10" x14ac:dyDescent="0.25">
      <c r="A3706" s="1">
        <v>43991</v>
      </c>
      <c r="B3706" t="s">
        <v>1615</v>
      </c>
      <c r="D3706" t="s">
        <v>112</v>
      </c>
      <c r="E3706" t="s">
        <v>113</v>
      </c>
      <c r="F3706" t="s">
        <v>114</v>
      </c>
      <c r="J3706" t="s">
        <v>778</v>
      </c>
    </row>
    <row r="3707" spans="1:10" x14ac:dyDescent="0.25">
      <c r="D3707" t="s">
        <v>116</v>
      </c>
      <c r="E3707" t="s">
        <v>117</v>
      </c>
      <c r="F3707" t="s">
        <v>118</v>
      </c>
    </row>
    <row r="3708" spans="1:10" x14ac:dyDescent="0.25">
      <c r="D3708" t="s">
        <v>119</v>
      </c>
      <c r="E3708" t="s">
        <v>120</v>
      </c>
      <c r="F3708" t="s">
        <v>121</v>
      </c>
    </row>
    <row r="3709" spans="1:10" x14ac:dyDescent="0.25">
      <c r="A3709" t="s">
        <v>1906</v>
      </c>
      <c r="B3709" t="s">
        <v>1907</v>
      </c>
    </row>
    <row r="3710" spans="1:10" x14ac:dyDescent="0.25">
      <c r="A3710" t="s">
        <v>386</v>
      </c>
    </row>
    <row r="3711" spans="1:10" x14ac:dyDescent="0.25">
      <c r="F3711" t="s">
        <v>2</v>
      </c>
      <c r="G3711" t="s">
        <v>3</v>
      </c>
      <c r="H3711" t="s">
        <v>4</v>
      </c>
      <c r="I3711" t="s">
        <v>5</v>
      </c>
      <c r="J3711" t="s">
        <v>6</v>
      </c>
    </row>
    <row r="3712" spans="1:10" x14ac:dyDescent="0.25">
      <c r="C3712" t="s">
        <v>7</v>
      </c>
      <c r="D3712" t="s">
        <v>8</v>
      </c>
      <c r="E3712" t="s">
        <v>9</v>
      </c>
      <c r="F3712" t="s">
        <v>10</v>
      </c>
      <c r="G3712" t="s">
        <v>124</v>
      </c>
      <c r="H3712" t="s">
        <v>12</v>
      </c>
      <c r="I3712" t="s">
        <v>13</v>
      </c>
      <c r="J3712" t="s">
        <v>14</v>
      </c>
    </row>
    <row r="3713" spans="1:10" x14ac:dyDescent="0.25">
      <c r="C3713" t="s">
        <v>15</v>
      </c>
      <c r="D3713" t="s">
        <v>15</v>
      </c>
      <c r="E3713" t="s">
        <v>15</v>
      </c>
      <c r="F3713" t="s">
        <v>16</v>
      </c>
      <c r="G3713" t="s">
        <v>15</v>
      </c>
      <c r="H3713" t="s">
        <v>17</v>
      </c>
      <c r="I3713" t="s">
        <v>16</v>
      </c>
      <c r="J3713" t="s">
        <v>16</v>
      </c>
    </row>
    <row r="3714" spans="1:10" x14ac:dyDescent="0.25">
      <c r="A3714" t="s">
        <v>18</v>
      </c>
      <c r="B3714" t="s">
        <v>19</v>
      </c>
      <c r="C3714" t="s">
        <v>20</v>
      </c>
      <c r="D3714" t="s">
        <v>21</v>
      </c>
      <c r="E3714" t="s">
        <v>22</v>
      </c>
      <c r="F3714" t="s">
        <v>23</v>
      </c>
      <c r="G3714" t="s">
        <v>24</v>
      </c>
      <c r="H3714" t="s">
        <v>20</v>
      </c>
      <c r="I3714" t="s">
        <v>24</v>
      </c>
      <c r="J3714" t="s">
        <v>20</v>
      </c>
    </row>
    <row r="3716" spans="1:10" x14ac:dyDescent="0.25">
      <c r="A3716" t="s">
        <v>501</v>
      </c>
    </row>
    <row r="3717" spans="1:10" x14ac:dyDescent="0.25">
      <c r="A3717" t="s">
        <v>18</v>
      </c>
    </row>
    <row r="3718" spans="1:10" x14ac:dyDescent="0.25">
      <c r="A3718" t="s">
        <v>2316</v>
      </c>
      <c r="B3718" t="s">
        <v>2261</v>
      </c>
      <c r="C3718" s="2">
        <v>10157</v>
      </c>
      <c r="D3718" s="2">
        <v>6769</v>
      </c>
      <c r="E3718" s="2">
        <v>7979</v>
      </c>
      <c r="F3718" s="2">
        <v>11000</v>
      </c>
      <c r="G3718" s="2">
        <v>7554</v>
      </c>
      <c r="H3718">
        <v>0</v>
      </c>
      <c r="I3718" t="s">
        <v>22</v>
      </c>
      <c r="J3718" t="s">
        <v>22</v>
      </c>
    </row>
    <row r="3719" spans="1:10" x14ac:dyDescent="0.25">
      <c r="A3719" t="s">
        <v>2317</v>
      </c>
      <c r="B3719" t="s">
        <v>509</v>
      </c>
      <c r="C3719" s="2">
        <v>21038</v>
      </c>
      <c r="D3719" s="2">
        <v>30495</v>
      </c>
      <c r="E3719" s="2">
        <v>31955</v>
      </c>
      <c r="F3719" s="2">
        <v>32000</v>
      </c>
      <c r="G3719" s="2">
        <v>4290</v>
      </c>
      <c r="H3719">
        <v>0</v>
      </c>
      <c r="I3719" t="s">
        <v>22</v>
      </c>
      <c r="J3719" t="s">
        <v>22</v>
      </c>
    </row>
    <row r="3720" spans="1:10" x14ac:dyDescent="0.25">
      <c r="A3720" t="s">
        <v>2318</v>
      </c>
      <c r="B3720" t="s">
        <v>2264</v>
      </c>
      <c r="C3720">
        <v>0</v>
      </c>
      <c r="D3720">
        <v>0</v>
      </c>
      <c r="E3720" s="2">
        <v>87188</v>
      </c>
      <c r="F3720" s="2">
        <v>175000</v>
      </c>
      <c r="G3720" s="2">
        <v>105469</v>
      </c>
      <c r="H3720">
        <v>0</v>
      </c>
      <c r="I3720" t="s">
        <v>22</v>
      </c>
      <c r="J3720" t="s">
        <v>22</v>
      </c>
    </row>
    <row r="3721" spans="1:10" x14ac:dyDescent="0.25">
      <c r="A3721" t="s">
        <v>2319</v>
      </c>
      <c r="B3721" t="s">
        <v>1880</v>
      </c>
      <c r="C3721" s="2">
        <v>153783</v>
      </c>
      <c r="D3721" s="2">
        <v>161875</v>
      </c>
      <c r="E3721" s="2">
        <v>117281</v>
      </c>
      <c r="F3721" s="2">
        <v>120000</v>
      </c>
      <c r="G3721" s="2">
        <v>40938</v>
      </c>
      <c r="H3721">
        <v>0</v>
      </c>
      <c r="I3721" t="s">
        <v>22</v>
      </c>
      <c r="J3721" t="s">
        <v>22</v>
      </c>
    </row>
    <row r="3722" spans="1:10" x14ac:dyDescent="0.25">
      <c r="A3722" t="s">
        <v>2320</v>
      </c>
      <c r="B3722" t="s">
        <v>519</v>
      </c>
      <c r="C3722">
        <v>0</v>
      </c>
      <c r="D3722">
        <v>0</v>
      </c>
      <c r="E3722">
        <v>0</v>
      </c>
      <c r="F3722" s="2">
        <v>5000</v>
      </c>
      <c r="G3722">
        <v>611</v>
      </c>
      <c r="H3722">
        <v>0</v>
      </c>
      <c r="I3722" t="s">
        <v>22</v>
      </c>
      <c r="J3722" t="s">
        <v>22</v>
      </c>
    </row>
    <row r="3723" spans="1:10" x14ac:dyDescent="0.25">
      <c r="A3723" t="s">
        <v>2321</v>
      </c>
      <c r="B3723" t="s">
        <v>521</v>
      </c>
      <c r="C3723">
        <v>0</v>
      </c>
      <c r="D3723">
        <v>0</v>
      </c>
      <c r="E3723">
        <v>0</v>
      </c>
      <c r="F3723">
        <v>300</v>
      </c>
      <c r="G3723">
        <v>0</v>
      </c>
      <c r="H3723">
        <v>0</v>
      </c>
      <c r="I3723" t="s">
        <v>22</v>
      </c>
      <c r="J3723" t="s">
        <v>22</v>
      </c>
    </row>
    <row r="3724" spans="1:10" x14ac:dyDescent="0.25">
      <c r="A3724" t="s">
        <v>2322</v>
      </c>
      <c r="B3724" t="s">
        <v>1085</v>
      </c>
      <c r="C3724">
        <v>0</v>
      </c>
      <c r="D3724">
        <v>0</v>
      </c>
      <c r="E3724">
        <v>0</v>
      </c>
      <c r="F3724" s="2">
        <v>5000</v>
      </c>
      <c r="G3724">
        <v>500</v>
      </c>
      <c r="H3724">
        <v>0</v>
      </c>
      <c r="I3724" t="s">
        <v>22</v>
      </c>
      <c r="J3724" t="s">
        <v>22</v>
      </c>
    </row>
    <row r="3725" spans="1:10" x14ac:dyDescent="0.25">
      <c r="C3725" t="s">
        <v>108</v>
      </c>
      <c r="D3725" t="s">
        <v>108</v>
      </c>
      <c r="E3725" t="s">
        <v>108</v>
      </c>
      <c r="F3725" t="s">
        <v>108</v>
      </c>
      <c r="G3725" t="s">
        <v>108</v>
      </c>
    </row>
    <row r="3726" spans="1:10" x14ac:dyDescent="0.25">
      <c r="H3726" t="s">
        <v>22</v>
      </c>
      <c r="I3726" t="s">
        <v>22</v>
      </c>
      <c r="J3726" t="s">
        <v>22</v>
      </c>
    </row>
    <row r="3727" spans="1:10" x14ac:dyDescent="0.25">
      <c r="A3727" t="s">
        <v>109</v>
      </c>
    </row>
    <row r="3728" spans="1:10" x14ac:dyDescent="0.25">
      <c r="B3728" t="s">
        <v>501</v>
      </c>
      <c r="C3728" s="2">
        <v>184979</v>
      </c>
      <c r="D3728" s="2">
        <v>199139</v>
      </c>
      <c r="E3728" s="2">
        <v>244403</v>
      </c>
      <c r="F3728" s="2">
        <v>348300</v>
      </c>
      <c r="G3728" s="2">
        <v>159361</v>
      </c>
      <c r="H3728">
        <v>0</v>
      </c>
    </row>
    <row r="3730" spans="1:10" x14ac:dyDescent="0.25">
      <c r="A3730" t="s">
        <v>524</v>
      </c>
      <c r="B3730" t="s">
        <v>525</v>
      </c>
    </row>
    <row r="3731" spans="1:10" x14ac:dyDescent="0.25">
      <c r="A3731" t="s">
        <v>18</v>
      </c>
      <c r="B3731" t="s">
        <v>526</v>
      </c>
    </row>
    <row r="3732" spans="1:10" x14ac:dyDescent="0.25">
      <c r="A3732" t="s">
        <v>2323</v>
      </c>
      <c r="B3732" t="s">
        <v>2324</v>
      </c>
      <c r="C3732">
        <v>0</v>
      </c>
      <c r="D3732">
        <v>0</v>
      </c>
      <c r="E3732">
        <v>0</v>
      </c>
      <c r="F3732">
        <v>0</v>
      </c>
      <c r="G3732">
        <v>0</v>
      </c>
      <c r="H3732">
        <v>0</v>
      </c>
      <c r="I3732" t="s">
        <v>22</v>
      </c>
      <c r="J3732" t="s">
        <v>22</v>
      </c>
    </row>
    <row r="3733" spans="1:10" x14ac:dyDescent="0.25">
      <c r="A3733" t="s">
        <v>2325</v>
      </c>
      <c r="B3733" t="s">
        <v>1885</v>
      </c>
      <c r="C3733">
        <v>0</v>
      </c>
      <c r="D3733">
        <v>0</v>
      </c>
      <c r="E3733">
        <v>0</v>
      </c>
      <c r="F3733">
        <v>0</v>
      </c>
      <c r="G3733">
        <v>0</v>
      </c>
      <c r="H3733">
        <v>0</v>
      </c>
      <c r="I3733" t="s">
        <v>22</v>
      </c>
      <c r="J3733" t="s">
        <v>22</v>
      </c>
    </row>
    <row r="3734" spans="1:10" x14ac:dyDescent="0.25">
      <c r="A3734" t="s">
        <v>2326</v>
      </c>
      <c r="B3734" t="s">
        <v>1282</v>
      </c>
      <c r="C3734">
        <v>0</v>
      </c>
      <c r="D3734">
        <v>0</v>
      </c>
      <c r="E3734">
        <v>0</v>
      </c>
      <c r="F3734" s="2">
        <v>104000</v>
      </c>
      <c r="G3734">
        <v>0</v>
      </c>
      <c r="H3734">
        <v>0</v>
      </c>
      <c r="I3734" t="s">
        <v>22</v>
      </c>
      <c r="J3734" t="s">
        <v>22</v>
      </c>
    </row>
    <row r="3735" spans="1:10" x14ac:dyDescent="0.25">
      <c r="A3735" t="s">
        <v>2327</v>
      </c>
      <c r="B3735" t="s">
        <v>534</v>
      </c>
      <c r="C3735">
        <v>0</v>
      </c>
      <c r="D3735">
        <v>0</v>
      </c>
      <c r="E3735">
        <v>0</v>
      </c>
      <c r="F3735">
        <v>0</v>
      </c>
      <c r="G3735">
        <v>0</v>
      </c>
      <c r="H3735">
        <v>0</v>
      </c>
      <c r="I3735" t="s">
        <v>22</v>
      </c>
      <c r="J3735" t="s">
        <v>22</v>
      </c>
    </row>
    <row r="3736" spans="1:10" x14ac:dyDescent="0.25">
      <c r="A3736" t="s">
        <v>2328</v>
      </c>
      <c r="B3736" t="s">
        <v>2329</v>
      </c>
      <c r="C3736">
        <v>0</v>
      </c>
      <c r="D3736">
        <v>0</v>
      </c>
      <c r="E3736" s="2">
        <v>106153</v>
      </c>
      <c r="F3736">
        <v>0</v>
      </c>
      <c r="G3736">
        <v>0</v>
      </c>
      <c r="H3736">
        <v>0</v>
      </c>
      <c r="I3736" t="s">
        <v>22</v>
      </c>
      <c r="J3736" t="s">
        <v>22</v>
      </c>
    </row>
    <row r="3737" spans="1:10" x14ac:dyDescent="0.25">
      <c r="C3737" t="s">
        <v>108</v>
      </c>
      <c r="D3737" t="s">
        <v>108</v>
      </c>
      <c r="E3737" t="s">
        <v>108</v>
      </c>
      <c r="F3737" t="s">
        <v>108</v>
      </c>
      <c r="G3737" t="s">
        <v>108</v>
      </c>
    </row>
    <row r="3738" spans="1:10" x14ac:dyDescent="0.25">
      <c r="H3738" t="s">
        <v>22</v>
      </c>
      <c r="I3738" t="s">
        <v>22</v>
      </c>
      <c r="J3738" t="s">
        <v>22</v>
      </c>
    </row>
    <row r="3739" spans="1:10" x14ac:dyDescent="0.25">
      <c r="A3739" t="s">
        <v>109</v>
      </c>
    </row>
    <row r="3740" spans="1:10" x14ac:dyDescent="0.25">
      <c r="B3740" t="s">
        <v>530</v>
      </c>
      <c r="C3740">
        <v>0</v>
      </c>
      <c r="D3740">
        <v>0</v>
      </c>
      <c r="E3740" s="2">
        <v>106153</v>
      </c>
      <c r="F3740" s="2">
        <v>104000</v>
      </c>
      <c r="G3740">
        <v>0</v>
      </c>
      <c r="H3740">
        <v>0</v>
      </c>
    </row>
    <row r="3741" spans="1:10" x14ac:dyDescent="0.25">
      <c r="A3741" t="s">
        <v>18</v>
      </c>
      <c r="B3741" t="s">
        <v>19</v>
      </c>
      <c r="C3741" t="s">
        <v>20</v>
      </c>
      <c r="D3741" t="s">
        <v>21</v>
      </c>
      <c r="E3741" t="s">
        <v>26</v>
      </c>
    </row>
    <row r="3742" spans="1:10" x14ac:dyDescent="0.25">
      <c r="E3742" t="s">
        <v>339</v>
      </c>
      <c r="F3742" t="s">
        <v>23</v>
      </c>
      <c r="G3742" t="s">
        <v>24</v>
      </c>
      <c r="H3742" t="s">
        <v>20</v>
      </c>
      <c r="I3742" t="s">
        <v>24</v>
      </c>
      <c r="J3742" t="s">
        <v>20</v>
      </c>
    </row>
    <row r="3743" spans="1:10" x14ac:dyDescent="0.25">
      <c r="A3743" t="s">
        <v>109</v>
      </c>
    </row>
    <row r="3744" spans="1:10" x14ac:dyDescent="0.25">
      <c r="A3744">
        <v>69</v>
      </c>
      <c r="B3744" t="e">
        <f>-WATER PLANT THREE</f>
        <v>#NAME?</v>
      </c>
      <c r="C3744" s="2">
        <v>450176</v>
      </c>
      <c r="D3744" s="2">
        <v>492229</v>
      </c>
      <c r="E3744" s="2">
        <v>1129255</v>
      </c>
      <c r="F3744" s="2">
        <v>799881</v>
      </c>
      <c r="G3744" s="2">
        <v>402749</v>
      </c>
      <c r="H3744">
        <v>0</v>
      </c>
    </row>
    <row r="3746" spans="1:10" x14ac:dyDescent="0.25">
      <c r="A3746" t="s">
        <v>1983</v>
      </c>
      <c r="B3746" t="s">
        <v>501</v>
      </c>
    </row>
    <row r="3747" spans="1:10" x14ac:dyDescent="0.25">
      <c r="A3747" t="s">
        <v>389</v>
      </c>
      <c r="B3747" t="s">
        <v>390</v>
      </c>
    </row>
    <row r="3749" spans="1:10" x14ac:dyDescent="0.25">
      <c r="A3749" t="s">
        <v>391</v>
      </c>
      <c r="B3749" t="s">
        <v>392</v>
      </c>
    </row>
    <row r="3750" spans="1:10" x14ac:dyDescent="0.25">
      <c r="A3750" t="s">
        <v>18</v>
      </c>
      <c r="B3750" t="s">
        <v>228</v>
      </c>
    </row>
    <row r="3751" spans="1:10" x14ac:dyDescent="0.25">
      <c r="A3751" t="s">
        <v>2330</v>
      </c>
      <c r="B3751" t="s">
        <v>569</v>
      </c>
      <c r="C3751" s="2">
        <v>10435</v>
      </c>
      <c r="D3751" s="2">
        <v>-7125</v>
      </c>
      <c r="E3751">
        <v>0</v>
      </c>
      <c r="F3751">
        <v>0</v>
      </c>
      <c r="G3751">
        <v>0</v>
      </c>
      <c r="H3751">
        <v>0</v>
      </c>
      <c r="I3751" t="s">
        <v>22</v>
      </c>
      <c r="J3751" t="s">
        <v>22</v>
      </c>
    </row>
    <row r="3752" spans="1:10" x14ac:dyDescent="0.25">
      <c r="A3752" t="s">
        <v>2331</v>
      </c>
      <c r="B3752" t="s">
        <v>396</v>
      </c>
      <c r="C3752">
        <v>36</v>
      </c>
      <c r="D3752">
        <v>27</v>
      </c>
      <c r="E3752">
        <v>717</v>
      </c>
      <c r="F3752" s="2">
        <v>2016</v>
      </c>
      <c r="G3752">
        <v>139</v>
      </c>
      <c r="H3752">
        <v>0</v>
      </c>
      <c r="I3752" t="s">
        <v>22</v>
      </c>
      <c r="J3752" t="s">
        <v>22</v>
      </c>
    </row>
    <row r="3753" spans="1:10" x14ac:dyDescent="0.25">
      <c r="A3753" t="s">
        <v>2332</v>
      </c>
      <c r="B3753" t="s">
        <v>398</v>
      </c>
      <c r="C3753" s="2">
        <v>13966</v>
      </c>
      <c r="D3753" s="2">
        <v>13824</v>
      </c>
      <c r="E3753" s="2">
        <v>23353</v>
      </c>
      <c r="F3753" s="2">
        <v>31040</v>
      </c>
      <c r="G3753" s="2">
        <v>18486</v>
      </c>
      <c r="H3753">
        <v>0</v>
      </c>
      <c r="I3753" t="s">
        <v>22</v>
      </c>
      <c r="J3753" t="s">
        <v>22</v>
      </c>
    </row>
    <row r="3754" spans="1:10" x14ac:dyDescent="0.25">
      <c r="A3754" t="s">
        <v>2333</v>
      </c>
      <c r="B3754" t="s">
        <v>400</v>
      </c>
      <c r="C3754" s="2">
        <v>15089</v>
      </c>
      <c r="D3754" s="2">
        <v>15150</v>
      </c>
      <c r="E3754" s="2">
        <v>27383</v>
      </c>
      <c r="F3754" s="2">
        <v>38506</v>
      </c>
      <c r="G3754" s="2">
        <v>20562</v>
      </c>
      <c r="H3754">
        <v>0</v>
      </c>
      <c r="I3754" t="s">
        <v>22</v>
      </c>
      <c r="J3754" t="s">
        <v>22</v>
      </c>
    </row>
    <row r="3755" spans="1:10" x14ac:dyDescent="0.25">
      <c r="A3755" t="s">
        <v>2334</v>
      </c>
      <c r="B3755" t="s">
        <v>574</v>
      </c>
      <c r="C3755" s="2">
        <v>48373</v>
      </c>
      <c r="D3755" s="2">
        <v>43255</v>
      </c>
      <c r="E3755" s="2">
        <v>73448</v>
      </c>
      <c r="F3755" s="2">
        <v>112689</v>
      </c>
      <c r="G3755" s="2">
        <v>43696</v>
      </c>
      <c r="H3755">
        <v>0</v>
      </c>
      <c r="I3755" t="s">
        <v>22</v>
      </c>
      <c r="J3755" t="s">
        <v>22</v>
      </c>
    </row>
    <row r="3756" spans="1:10" x14ac:dyDescent="0.25">
      <c r="A3756" t="s">
        <v>2335</v>
      </c>
      <c r="B3756" t="s">
        <v>404</v>
      </c>
      <c r="C3756" s="2">
        <v>2655</v>
      </c>
      <c r="D3756" s="2">
        <v>2430</v>
      </c>
      <c r="E3756" s="2">
        <v>4010</v>
      </c>
      <c r="F3756" s="2">
        <v>5232</v>
      </c>
      <c r="G3756" s="2">
        <v>2430</v>
      </c>
      <c r="H3756">
        <v>0</v>
      </c>
      <c r="I3756" t="s">
        <v>22</v>
      </c>
      <c r="J3756" t="s">
        <v>22</v>
      </c>
    </row>
    <row r="3757" spans="1:10" x14ac:dyDescent="0.25">
      <c r="A3757" t="s">
        <v>2336</v>
      </c>
      <c r="B3757" t="s">
        <v>406</v>
      </c>
      <c r="C3757" s="2">
        <v>4167</v>
      </c>
      <c r="D3757" s="2">
        <v>2902</v>
      </c>
      <c r="E3757" s="2">
        <v>8288</v>
      </c>
      <c r="F3757" s="2">
        <v>9117</v>
      </c>
      <c r="G3757" s="2">
        <v>9597</v>
      </c>
      <c r="H3757">
        <v>0</v>
      </c>
      <c r="I3757" t="s">
        <v>22</v>
      </c>
      <c r="J3757" t="s">
        <v>22</v>
      </c>
    </row>
    <row r="3758" spans="1:10" x14ac:dyDescent="0.25">
      <c r="A3758" t="s">
        <v>2337</v>
      </c>
      <c r="B3758" t="s">
        <v>424</v>
      </c>
      <c r="C3758" s="2">
        <v>1869</v>
      </c>
      <c r="D3758" s="2">
        <v>1938</v>
      </c>
      <c r="E3758" s="2">
        <v>2318</v>
      </c>
      <c r="F3758" s="2">
        <v>2436</v>
      </c>
      <c r="G3758" s="2">
        <v>2491</v>
      </c>
      <c r="H3758">
        <v>0</v>
      </c>
      <c r="I3758" t="s">
        <v>22</v>
      </c>
      <c r="J3758" t="s">
        <v>22</v>
      </c>
    </row>
    <row r="3759" spans="1:10" x14ac:dyDescent="0.25">
      <c r="A3759" t="s">
        <v>2338</v>
      </c>
      <c r="B3759" t="s">
        <v>426</v>
      </c>
      <c r="C3759" s="2">
        <v>1620</v>
      </c>
      <c r="D3759" s="2">
        <v>1620</v>
      </c>
      <c r="E3759" s="2">
        <v>2025</v>
      </c>
      <c r="F3759" s="2">
        <v>3239</v>
      </c>
      <c r="G3759" s="2">
        <v>2491</v>
      </c>
      <c r="H3759">
        <v>0</v>
      </c>
      <c r="I3759" t="s">
        <v>22</v>
      </c>
      <c r="J3759" t="s">
        <v>22</v>
      </c>
    </row>
    <row r="3760" spans="1:10" x14ac:dyDescent="0.25">
      <c r="A3760" t="s">
        <v>2339</v>
      </c>
      <c r="B3760" t="s">
        <v>1204</v>
      </c>
      <c r="C3760">
        <v>720</v>
      </c>
      <c r="D3760">
        <v>720</v>
      </c>
      <c r="E3760" s="2">
        <v>1260</v>
      </c>
      <c r="F3760" s="2">
        <v>1440</v>
      </c>
      <c r="G3760" s="2">
        <v>1080</v>
      </c>
      <c r="H3760">
        <v>0</v>
      </c>
      <c r="I3760" t="s">
        <v>22</v>
      </c>
      <c r="J3760" t="s">
        <v>22</v>
      </c>
    </row>
    <row r="3761" spans="1:10" x14ac:dyDescent="0.25">
      <c r="A3761" t="s">
        <v>2340</v>
      </c>
      <c r="B3761" t="s">
        <v>428</v>
      </c>
      <c r="C3761" s="2">
        <v>1200</v>
      </c>
      <c r="D3761" s="2">
        <v>1200</v>
      </c>
      <c r="E3761" s="2">
        <v>1200</v>
      </c>
      <c r="F3761" s="2">
        <v>1200</v>
      </c>
      <c r="G3761">
        <v>831</v>
      </c>
      <c r="H3761">
        <v>0</v>
      </c>
      <c r="I3761" t="s">
        <v>22</v>
      </c>
      <c r="J3761" t="s">
        <v>22</v>
      </c>
    </row>
    <row r="3762" spans="1:10" x14ac:dyDescent="0.25">
      <c r="A3762" t="s">
        <v>2341</v>
      </c>
      <c r="B3762" t="s">
        <v>430</v>
      </c>
      <c r="C3762">
        <v>138</v>
      </c>
      <c r="D3762">
        <v>138</v>
      </c>
      <c r="E3762">
        <v>242</v>
      </c>
      <c r="F3762">
        <v>277</v>
      </c>
      <c r="G3762">
        <v>242</v>
      </c>
      <c r="H3762">
        <v>0</v>
      </c>
      <c r="I3762" t="s">
        <v>22</v>
      </c>
      <c r="J3762" t="s">
        <v>22</v>
      </c>
    </row>
    <row r="3763" spans="1:10" x14ac:dyDescent="0.25">
      <c r="A3763" t="s">
        <v>2342</v>
      </c>
      <c r="B3763" t="s">
        <v>432</v>
      </c>
      <c r="C3763" s="2">
        <v>7084</v>
      </c>
      <c r="D3763" s="2">
        <v>5718</v>
      </c>
      <c r="E3763" s="2">
        <v>12169</v>
      </c>
      <c r="F3763" s="2">
        <v>8000</v>
      </c>
      <c r="G3763" s="2">
        <v>12866</v>
      </c>
      <c r="H3763">
        <v>0</v>
      </c>
      <c r="I3763" t="s">
        <v>22</v>
      </c>
      <c r="J3763" t="s">
        <v>22</v>
      </c>
    </row>
    <row r="3764" spans="1:10" x14ac:dyDescent="0.25">
      <c r="A3764" t="s">
        <v>2343</v>
      </c>
      <c r="B3764" t="s">
        <v>434</v>
      </c>
      <c r="C3764">
        <v>0</v>
      </c>
      <c r="D3764">
        <v>0</v>
      </c>
      <c r="E3764">
        <v>0</v>
      </c>
      <c r="F3764">
        <v>0</v>
      </c>
      <c r="G3764">
        <v>0</v>
      </c>
      <c r="H3764">
        <v>0</v>
      </c>
      <c r="I3764" t="s">
        <v>22</v>
      </c>
      <c r="J3764" t="s">
        <v>22</v>
      </c>
    </row>
    <row r="3765" spans="1:10" x14ac:dyDescent="0.25">
      <c r="A3765" t="s">
        <v>2344</v>
      </c>
      <c r="B3765" t="s">
        <v>436</v>
      </c>
      <c r="C3765">
        <v>0</v>
      </c>
      <c r="D3765">
        <v>0</v>
      </c>
      <c r="E3765">
        <v>0</v>
      </c>
      <c r="F3765">
        <v>0</v>
      </c>
      <c r="G3765">
        <v>0</v>
      </c>
      <c r="H3765">
        <v>0</v>
      </c>
      <c r="I3765" t="s">
        <v>22</v>
      </c>
      <c r="J3765" t="s">
        <v>22</v>
      </c>
    </row>
    <row r="3766" spans="1:10" x14ac:dyDescent="0.25">
      <c r="A3766" t="s">
        <v>2345</v>
      </c>
      <c r="B3766" t="s">
        <v>607</v>
      </c>
      <c r="C3766">
        <v>0</v>
      </c>
      <c r="D3766">
        <v>0</v>
      </c>
      <c r="E3766">
        <v>0</v>
      </c>
      <c r="F3766">
        <v>0</v>
      </c>
      <c r="G3766">
        <v>0</v>
      </c>
      <c r="H3766">
        <v>0</v>
      </c>
      <c r="I3766" t="s">
        <v>22</v>
      </c>
      <c r="J3766" t="s">
        <v>22</v>
      </c>
    </row>
    <row r="3767" spans="1:10" x14ac:dyDescent="0.25">
      <c r="A3767" t="s">
        <v>2346</v>
      </c>
      <c r="B3767" t="s">
        <v>2347</v>
      </c>
      <c r="C3767">
        <v>0</v>
      </c>
      <c r="D3767">
        <v>0</v>
      </c>
      <c r="E3767" s="2">
        <v>60000</v>
      </c>
      <c r="F3767" s="2">
        <v>65520</v>
      </c>
      <c r="G3767" s="2">
        <v>45120</v>
      </c>
      <c r="H3767">
        <v>0</v>
      </c>
      <c r="I3767" t="s">
        <v>22</v>
      </c>
      <c r="J3767" t="s">
        <v>22</v>
      </c>
    </row>
    <row r="3768" spans="1:10" x14ac:dyDescent="0.25">
      <c r="A3768" t="s">
        <v>2348</v>
      </c>
      <c r="B3768" t="s">
        <v>2349</v>
      </c>
      <c r="C3768" s="2">
        <v>49787</v>
      </c>
      <c r="D3768" s="2">
        <v>71671</v>
      </c>
      <c r="E3768" s="2">
        <v>52435</v>
      </c>
      <c r="F3768" s="2">
        <v>54600</v>
      </c>
      <c r="G3768" s="2">
        <v>39507</v>
      </c>
      <c r="H3768">
        <v>0</v>
      </c>
      <c r="I3768" t="s">
        <v>22</v>
      </c>
      <c r="J3768" t="s">
        <v>22</v>
      </c>
    </row>
    <row r="3769" spans="1:10" x14ac:dyDescent="0.25">
      <c r="A3769" t="s">
        <v>2350</v>
      </c>
      <c r="B3769" t="s">
        <v>2351</v>
      </c>
      <c r="C3769" s="2">
        <v>122335</v>
      </c>
      <c r="D3769" s="2">
        <v>100431</v>
      </c>
      <c r="E3769" s="2">
        <v>176497</v>
      </c>
      <c r="F3769" s="2">
        <v>276953</v>
      </c>
      <c r="G3769" s="2">
        <v>138342</v>
      </c>
      <c r="H3769">
        <v>0</v>
      </c>
      <c r="I3769" t="s">
        <v>22</v>
      </c>
      <c r="J3769" t="s">
        <v>22</v>
      </c>
    </row>
    <row r="3770" spans="1:10" x14ac:dyDescent="0.25">
      <c r="A3770" t="s">
        <v>2352</v>
      </c>
      <c r="B3770" t="s">
        <v>1221</v>
      </c>
      <c r="C3770">
        <v>750</v>
      </c>
      <c r="D3770">
        <v>375</v>
      </c>
      <c r="E3770">
        <v>900</v>
      </c>
      <c r="F3770">
        <v>0</v>
      </c>
      <c r="G3770" s="2">
        <v>1425</v>
      </c>
      <c r="H3770">
        <v>0</v>
      </c>
      <c r="I3770" t="s">
        <v>22</v>
      </c>
      <c r="J3770" t="s">
        <v>22</v>
      </c>
    </row>
    <row r="3771" spans="1:10" x14ac:dyDescent="0.25">
      <c r="C3771" t="s">
        <v>108</v>
      </c>
      <c r="D3771" t="s">
        <v>108</v>
      </c>
      <c r="E3771" t="s">
        <v>108</v>
      </c>
      <c r="F3771" t="s">
        <v>108</v>
      </c>
      <c r="G3771" t="s">
        <v>108</v>
      </c>
    </row>
    <row r="3772" spans="1:10" x14ac:dyDescent="0.25">
      <c r="H3772" t="s">
        <v>22</v>
      </c>
      <c r="I3772" t="s">
        <v>22</v>
      </c>
      <c r="J3772" t="s">
        <v>22</v>
      </c>
    </row>
    <row r="3773" spans="1:10" x14ac:dyDescent="0.25">
      <c r="A3773" t="s">
        <v>109</v>
      </c>
    </row>
    <row r="3774" spans="1:10" x14ac:dyDescent="0.25">
      <c r="B3774" t="s">
        <v>441</v>
      </c>
      <c r="C3774" s="2">
        <v>280225</v>
      </c>
      <c r="D3774" s="2">
        <v>254273</v>
      </c>
      <c r="E3774" s="2">
        <v>446245</v>
      </c>
      <c r="F3774" s="2">
        <v>612265</v>
      </c>
      <c r="G3774" s="2">
        <v>339305</v>
      </c>
      <c r="H3774">
        <v>0</v>
      </c>
    </row>
    <row r="3775" spans="1:10" x14ac:dyDescent="0.25">
      <c r="A3775" t="s">
        <v>110</v>
      </c>
    </row>
    <row r="3776" spans="1:10" x14ac:dyDescent="0.25">
      <c r="A3776" s="1">
        <v>43991</v>
      </c>
      <c r="B3776" t="s">
        <v>1615</v>
      </c>
      <c r="D3776" t="s">
        <v>112</v>
      </c>
      <c r="E3776" t="s">
        <v>113</v>
      </c>
      <c r="F3776" t="s">
        <v>114</v>
      </c>
      <c r="J3776" t="s">
        <v>821</v>
      </c>
    </row>
    <row r="3777" spans="1:10" x14ac:dyDescent="0.25">
      <c r="D3777" t="s">
        <v>116</v>
      </c>
      <c r="E3777" t="s">
        <v>117</v>
      </c>
      <c r="F3777" t="s">
        <v>118</v>
      </c>
    </row>
    <row r="3778" spans="1:10" x14ac:dyDescent="0.25">
      <c r="D3778" t="s">
        <v>119</v>
      </c>
      <c r="E3778" t="s">
        <v>120</v>
      </c>
      <c r="F3778" t="s">
        <v>121</v>
      </c>
    </row>
    <row r="3779" spans="1:10" x14ac:dyDescent="0.25">
      <c r="A3779" t="s">
        <v>1906</v>
      </c>
      <c r="B3779" t="s">
        <v>1907</v>
      </c>
    </row>
    <row r="3780" spans="1:10" x14ac:dyDescent="0.25">
      <c r="A3780" t="s">
        <v>386</v>
      </c>
    </row>
    <row r="3781" spans="1:10" x14ac:dyDescent="0.25">
      <c r="F3781" t="s">
        <v>2</v>
      </c>
      <c r="G3781" t="s">
        <v>3</v>
      </c>
      <c r="H3781" t="s">
        <v>4</v>
      </c>
      <c r="I3781" t="s">
        <v>5</v>
      </c>
      <c r="J3781" t="s">
        <v>6</v>
      </c>
    </row>
    <row r="3782" spans="1:10" x14ac:dyDescent="0.25">
      <c r="C3782" t="s">
        <v>7</v>
      </c>
      <c r="D3782" t="s">
        <v>8</v>
      </c>
      <c r="E3782" t="s">
        <v>9</v>
      </c>
      <c r="F3782" t="s">
        <v>10</v>
      </c>
      <c r="G3782" t="s">
        <v>124</v>
      </c>
      <c r="H3782" t="s">
        <v>12</v>
      </c>
      <c r="I3782" t="s">
        <v>13</v>
      </c>
      <c r="J3782" t="s">
        <v>14</v>
      </c>
    </row>
    <row r="3783" spans="1:10" x14ac:dyDescent="0.25">
      <c r="C3783" t="s">
        <v>15</v>
      </c>
      <c r="D3783" t="s">
        <v>15</v>
      </c>
      <c r="E3783" t="s">
        <v>15</v>
      </c>
      <c r="F3783" t="s">
        <v>16</v>
      </c>
      <c r="G3783" t="s">
        <v>15</v>
      </c>
      <c r="H3783" t="s">
        <v>17</v>
      </c>
      <c r="I3783" t="s">
        <v>16</v>
      </c>
      <c r="J3783" t="s">
        <v>16</v>
      </c>
    </row>
    <row r="3784" spans="1:10" x14ac:dyDescent="0.25">
      <c r="A3784" t="s">
        <v>18</v>
      </c>
      <c r="B3784" t="s">
        <v>19</v>
      </c>
      <c r="C3784" t="s">
        <v>20</v>
      </c>
      <c r="D3784" t="s">
        <v>21</v>
      </c>
      <c r="E3784" t="s">
        <v>22</v>
      </c>
      <c r="F3784" t="s">
        <v>23</v>
      </c>
      <c r="G3784" t="s">
        <v>24</v>
      </c>
      <c r="H3784" t="s">
        <v>20</v>
      </c>
      <c r="I3784" t="s">
        <v>24</v>
      </c>
      <c r="J3784" t="s">
        <v>20</v>
      </c>
    </row>
    <row r="3786" spans="1:10" x14ac:dyDescent="0.25">
      <c r="A3786" t="s">
        <v>442</v>
      </c>
      <c r="B3786" t="s">
        <v>443</v>
      </c>
    </row>
    <row r="3787" spans="1:10" x14ac:dyDescent="0.25">
      <c r="A3787" t="s">
        <v>18</v>
      </c>
      <c r="B3787" t="s">
        <v>21</v>
      </c>
    </row>
    <row r="3788" spans="1:10" x14ac:dyDescent="0.25">
      <c r="A3788" t="s">
        <v>2353</v>
      </c>
      <c r="B3788" t="s">
        <v>445</v>
      </c>
      <c r="C3788" s="2">
        <v>7906</v>
      </c>
      <c r="D3788" s="2">
        <v>2268</v>
      </c>
      <c r="E3788" s="2">
        <v>9795</v>
      </c>
      <c r="F3788" s="2">
        <v>10775</v>
      </c>
      <c r="G3788" s="2">
        <v>7396</v>
      </c>
      <c r="H3788">
        <v>0</v>
      </c>
      <c r="I3788" t="s">
        <v>22</v>
      </c>
      <c r="J3788" t="s">
        <v>22</v>
      </c>
    </row>
    <row r="3789" spans="1:10" x14ac:dyDescent="0.25">
      <c r="A3789" t="s">
        <v>2354</v>
      </c>
      <c r="B3789" t="s">
        <v>447</v>
      </c>
      <c r="C3789" s="2">
        <v>6080</v>
      </c>
      <c r="D3789" s="2">
        <v>5047</v>
      </c>
      <c r="E3789" s="2">
        <v>1975</v>
      </c>
      <c r="F3789" s="2">
        <v>12000</v>
      </c>
      <c r="G3789" s="2">
        <v>2765</v>
      </c>
      <c r="H3789">
        <v>0</v>
      </c>
      <c r="I3789" t="s">
        <v>22</v>
      </c>
      <c r="J3789" t="s">
        <v>22</v>
      </c>
    </row>
    <row r="3790" spans="1:10" x14ac:dyDescent="0.25">
      <c r="A3790" t="s">
        <v>2355</v>
      </c>
      <c r="B3790" t="s">
        <v>449</v>
      </c>
      <c r="C3790" s="2">
        <v>1433</v>
      </c>
      <c r="D3790">
        <v>0</v>
      </c>
      <c r="E3790" s="2">
        <v>1594</v>
      </c>
      <c r="F3790" s="2">
        <v>2000</v>
      </c>
      <c r="G3790">
        <v>886</v>
      </c>
      <c r="H3790">
        <v>0</v>
      </c>
      <c r="I3790" t="s">
        <v>22</v>
      </c>
      <c r="J3790" t="s">
        <v>22</v>
      </c>
    </row>
    <row r="3791" spans="1:10" x14ac:dyDescent="0.25">
      <c r="A3791" t="s">
        <v>2356</v>
      </c>
      <c r="B3791" t="s">
        <v>451</v>
      </c>
      <c r="C3791" s="2">
        <v>5141</v>
      </c>
      <c r="D3791" s="2">
        <v>2500</v>
      </c>
      <c r="E3791" s="2">
        <v>4469</v>
      </c>
      <c r="F3791" s="2">
        <v>6000</v>
      </c>
      <c r="G3791" s="2">
        <v>4253</v>
      </c>
      <c r="H3791">
        <v>0</v>
      </c>
      <c r="I3791" t="s">
        <v>22</v>
      </c>
      <c r="J3791" t="s">
        <v>22</v>
      </c>
    </row>
    <row r="3792" spans="1:10" x14ac:dyDescent="0.25">
      <c r="A3792" t="s">
        <v>2357</v>
      </c>
      <c r="B3792" t="s">
        <v>1232</v>
      </c>
      <c r="C3792">
        <v>0</v>
      </c>
      <c r="D3792" s="2">
        <v>5501</v>
      </c>
      <c r="E3792" s="2">
        <v>9262</v>
      </c>
      <c r="F3792">
        <v>0</v>
      </c>
      <c r="G3792" s="2">
        <v>6418</v>
      </c>
      <c r="H3792">
        <v>0</v>
      </c>
      <c r="I3792" t="s">
        <v>22</v>
      </c>
      <c r="J3792" t="s">
        <v>22</v>
      </c>
    </row>
    <row r="3793" spans="1:10" x14ac:dyDescent="0.25">
      <c r="A3793" t="s">
        <v>2358</v>
      </c>
      <c r="B3793" t="s">
        <v>471</v>
      </c>
      <c r="C3793">
        <v>0</v>
      </c>
      <c r="D3793">
        <v>144</v>
      </c>
      <c r="E3793">
        <v>362</v>
      </c>
      <c r="F3793">
        <v>0</v>
      </c>
      <c r="G3793">
        <v>315</v>
      </c>
      <c r="H3793">
        <v>0</v>
      </c>
      <c r="I3793" t="s">
        <v>22</v>
      </c>
      <c r="J3793" t="s">
        <v>22</v>
      </c>
    </row>
    <row r="3794" spans="1:10" x14ac:dyDescent="0.25">
      <c r="A3794" t="s">
        <v>2359</v>
      </c>
      <c r="B3794" t="s">
        <v>1047</v>
      </c>
      <c r="C3794" s="2">
        <v>2275</v>
      </c>
      <c r="D3794" s="2">
        <v>2274</v>
      </c>
      <c r="E3794" s="2">
        <v>2173</v>
      </c>
      <c r="F3794" s="2">
        <v>4500</v>
      </c>
      <c r="G3794" s="2">
        <v>1244</v>
      </c>
      <c r="H3794">
        <v>0</v>
      </c>
      <c r="I3794" t="s">
        <v>22</v>
      </c>
      <c r="J3794" t="s">
        <v>22</v>
      </c>
    </row>
    <row r="3795" spans="1:10" x14ac:dyDescent="0.25">
      <c r="A3795" t="s">
        <v>2360</v>
      </c>
      <c r="B3795" t="s">
        <v>473</v>
      </c>
      <c r="C3795" s="2">
        <v>38462</v>
      </c>
      <c r="D3795" s="2">
        <v>57943</v>
      </c>
      <c r="E3795" s="2">
        <v>63016</v>
      </c>
      <c r="F3795" s="2">
        <v>70000</v>
      </c>
      <c r="G3795" s="2">
        <v>45238</v>
      </c>
      <c r="H3795">
        <v>0</v>
      </c>
      <c r="I3795" t="s">
        <v>22</v>
      </c>
      <c r="J3795" t="s">
        <v>22</v>
      </c>
    </row>
    <row r="3796" spans="1:10" x14ac:dyDescent="0.25">
      <c r="A3796" t="s">
        <v>2361</v>
      </c>
      <c r="B3796" t="s">
        <v>1241</v>
      </c>
      <c r="C3796" s="2">
        <v>26009</v>
      </c>
      <c r="D3796">
        <v>0</v>
      </c>
      <c r="E3796">
        <v>0</v>
      </c>
      <c r="F3796">
        <v>0</v>
      </c>
      <c r="G3796">
        <v>0</v>
      </c>
      <c r="H3796">
        <v>0</v>
      </c>
      <c r="I3796" t="s">
        <v>22</v>
      </c>
      <c r="J3796" t="s">
        <v>22</v>
      </c>
    </row>
    <row r="3797" spans="1:10" x14ac:dyDescent="0.25">
      <c r="A3797" t="s">
        <v>2362</v>
      </c>
      <c r="B3797" t="s">
        <v>626</v>
      </c>
      <c r="C3797" s="2">
        <v>28830</v>
      </c>
      <c r="D3797" s="2">
        <v>28732</v>
      </c>
      <c r="E3797" s="2">
        <v>67721</v>
      </c>
      <c r="F3797" s="2">
        <v>50000</v>
      </c>
      <c r="G3797" s="2">
        <v>24922</v>
      </c>
      <c r="H3797">
        <v>0</v>
      </c>
      <c r="I3797" t="s">
        <v>22</v>
      </c>
      <c r="J3797" t="s">
        <v>22</v>
      </c>
    </row>
    <row r="3798" spans="1:10" x14ac:dyDescent="0.25">
      <c r="A3798" t="s">
        <v>2363</v>
      </c>
      <c r="B3798" t="s">
        <v>1246</v>
      </c>
      <c r="C3798" s="2">
        <v>2948</v>
      </c>
      <c r="D3798">
        <v>0</v>
      </c>
      <c r="E3798" s="2">
        <v>1964</v>
      </c>
      <c r="F3798" s="2">
        <v>1500</v>
      </c>
      <c r="G3798" s="2">
        <v>9760</v>
      </c>
      <c r="H3798">
        <v>0</v>
      </c>
      <c r="I3798" t="s">
        <v>22</v>
      </c>
      <c r="J3798" t="s">
        <v>22</v>
      </c>
    </row>
    <row r="3799" spans="1:10" x14ac:dyDescent="0.25">
      <c r="A3799" t="s">
        <v>2364</v>
      </c>
      <c r="B3799" t="s">
        <v>475</v>
      </c>
      <c r="C3799">
        <v>442</v>
      </c>
      <c r="D3799">
        <v>209</v>
      </c>
      <c r="E3799">
        <v>227</v>
      </c>
      <c r="F3799">
        <v>500</v>
      </c>
      <c r="G3799">
        <v>431</v>
      </c>
      <c r="H3799">
        <v>0</v>
      </c>
      <c r="I3799" t="s">
        <v>22</v>
      </c>
      <c r="J3799" t="s">
        <v>22</v>
      </c>
    </row>
    <row r="3800" spans="1:10" x14ac:dyDescent="0.25">
      <c r="A3800" t="s">
        <v>2365</v>
      </c>
      <c r="B3800" t="s">
        <v>2366</v>
      </c>
      <c r="C3800" s="2">
        <v>595611</v>
      </c>
      <c r="D3800" s="2">
        <v>211981</v>
      </c>
      <c r="E3800" s="2">
        <v>149204</v>
      </c>
      <c r="F3800" s="2">
        <v>400000</v>
      </c>
      <c r="G3800" s="2">
        <v>32537</v>
      </c>
      <c r="H3800">
        <v>0</v>
      </c>
      <c r="I3800" t="s">
        <v>22</v>
      </c>
      <c r="J3800" t="s">
        <v>22</v>
      </c>
    </row>
    <row r="3801" spans="1:10" x14ac:dyDescent="0.25">
      <c r="A3801" t="s">
        <v>2367</v>
      </c>
      <c r="B3801" t="s">
        <v>2368</v>
      </c>
      <c r="C3801">
        <v>0</v>
      </c>
      <c r="D3801">
        <v>0</v>
      </c>
      <c r="E3801" s="2">
        <v>12705</v>
      </c>
      <c r="F3801">
        <v>0</v>
      </c>
      <c r="G3801">
        <v>0</v>
      </c>
      <c r="H3801">
        <v>0</v>
      </c>
      <c r="I3801" t="s">
        <v>22</v>
      </c>
      <c r="J3801" t="s">
        <v>22</v>
      </c>
    </row>
    <row r="3802" spans="1:10" x14ac:dyDescent="0.25">
      <c r="A3802" t="s">
        <v>2369</v>
      </c>
      <c r="B3802" t="s">
        <v>2370</v>
      </c>
      <c r="C3802" s="2">
        <v>2498</v>
      </c>
      <c r="D3802" s="2">
        <v>44897</v>
      </c>
      <c r="E3802">
        <v>0</v>
      </c>
      <c r="F3802" s="2">
        <v>40000</v>
      </c>
      <c r="G3802">
        <v>0</v>
      </c>
      <c r="H3802">
        <v>0</v>
      </c>
      <c r="I3802" t="s">
        <v>22</v>
      </c>
      <c r="J3802" t="s">
        <v>22</v>
      </c>
    </row>
    <row r="3803" spans="1:10" x14ac:dyDescent="0.25">
      <c r="A3803" t="s">
        <v>2371</v>
      </c>
      <c r="B3803" t="s">
        <v>477</v>
      </c>
      <c r="C3803">
        <v>0</v>
      </c>
      <c r="D3803">
        <v>0</v>
      </c>
      <c r="E3803">
        <v>0</v>
      </c>
      <c r="F3803">
        <v>0</v>
      </c>
      <c r="G3803">
        <v>59</v>
      </c>
      <c r="H3803">
        <v>0</v>
      </c>
      <c r="I3803" t="s">
        <v>22</v>
      </c>
      <c r="J3803" t="s">
        <v>22</v>
      </c>
    </row>
    <row r="3804" spans="1:10" x14ac:dyDescent="0.25">
      <c r="C3804" t="s">
        <v>108</v>
      </c>
      <c r="D3804" t="s">
        <v>108</v>
      </c>
      <c r="E3804" t="s">
        <v>108</v>
      </c>
      <c r="F3804" t="s">
        <v>108</v>
      </c>
      <c r="G3804" t="s">
        <v>108</v>
      </c>
    </row>
    <row r="3805" spans="1:10" x14ac:dyDescent="0.25">
      <c r="H3805" t="s">
        <v>22</v>
      </c>
      <c r="I3805" t="s">
        <v>22</v>
      </c>
      <c r="J3805" t="s">
        <v>22</v>
      </c>
    </row>
    <row r="3806" spans="1:10" x14ac:dyDescent="0.25">
      <c r="A3806" t="s">
        <v>109</v>
      </c>
    </row>
    <row r="3807" spans="1:10" x14ac:dyDescent="0.25">
      <c r="B3807" t="s">
        <v>478</v>
      </c>
      <c r="C3807" s="2">
        <v>717636</v>
      </c>
      <c r="D3807" s="2">
        <v>361495</v>
      </c>
      <c r="E3807" s="2">
        <v>324466</v>
      </c>
      <c r="F3807" s="2">
        <v>597275</v>
      </c>
      <c r="G3807" s="2">
        <v>136224</v>
      </c>
      <c r="H3807">
        <v>0</v>
      </c>
    </row>
    <row r="3809" spans="1:10" x14ac:dyDescent="0.25">
      <c r="A3809" t="s">
        <v>489</v>
      </c>
    </row>
    <row r="3810" spans="1:10" x14ac:dyDescent="0.25">
      <c r="A3810" t="s">
        <v>18</v>
      </c>
    </row>
    <row r="3811" spans="1:10" x14ac:dyDescent="0.25">
      <c r="A3811" t="s">
        <v>2372</v>
      </c>
      <c r="B3811" t="s">
        <v>489</v>
      </c>
      <c r="C3811" s="2">
        <v>3908</v>
      </c>
      <c r="D3811" s="2">
        <v>2255</v>
      </c>
      <c r="E3811" s="2">
        <v>2837</v>
      </c>
      <c r="F3811" s="2">
        <v>3000</v>
      </c>
      <c r="G3811" s="2">
        <v>1143</v>
      </c>
      <c r="H3811">
        <v>0</v>
      </c>
      <c r="I3811" t="s">
        <v>22</v>
      </c>
      <c r="J3811" t="s">
        <v>22</v>
      </c>
    </row>
    <row r="3812" spans="1:10" x14ac:dyDescent="0.25">
      <c r="A3812" t="s">
        <v>2373</v>
      </c>
      <c r="B3812" t="s">
        <v>1252</v>
      </c>
      <c r="C3812" s="2">
        <v>2476</v>
      </c>
      <c r="D3812" s="2">
        <v>3177</v>
      </c>
      <c r="E3812" s="2">
        <v>3924</v>
      </c>
      <c r="F3812" s="2">
        <v>4000</v>
      </c>
      <c r="G3812" s="2">
        <v>7022</v>
      </c>
      <c r="H3812">
        <v>0</v>
      </c>
      <c r="I3812" t="s">
        <v>22</v>
      </c>
      <c r="J3812" t="s">
        <v>22</v>
      </c>
    </row>
    <row r="3813" spans="1:10" x14ac:dyDescent="0.25">
      <c r="A3813" t="s">
        <v>2374</v>
      </c>
      <c r="B3813" t="s">
        <v>496</v>
      </c>
      <c r="C3813" s="2">
        <v>24989</v>
      </c>
      <c r="D3813" s="2">
        <v>17716</v>
      </c>
      <c r="E3813" s="2">
        <v>21682</v>
      </c>
      <c r="F3813" s="2">
        <v>30000</v>
      </c>
      <c r="G3813" s="2">
        <v>12818</v>
      </c>
      <c r="H3813">
        <v>0</v>
      </c>
      <c r="I3813" t="s">
        <v>22</v>
      </c>
      <c r="J3813" t="s">
        <v>22</v>
      </c>
    </row>
    <row r="3814" spans="1:10" x14ac:dyDescent="0.25">
      <c r="A3814" t="s">
        <v>2375</v>
      </c>
      <c r="B3814" t="s">
        <v>1259</v>
      </c>
      <c r="C3814">
        <v>0</v>
      </c>
      <c r="D3814">
        <v>0</v>
      </c>
      <c r="E3814">
        <v>0</v>
      </c>
      <c r="F3814">
        <v>0</v>
      </c>
      <c r="G3814">
        <v>0</v>
      </c>
      <c r="H3814">
        <v>0</v>
      </c>
      <c r="I3814" t="s">
        <v>22</v>
      </c>
      <c r="J3814" t="s">
        <v>22</v>
      </c>
    </row>
    <row r="3815" spans="1:10" x14ac:dyDescent="0.25">
      <c r="A3815" t="s">
        <v>2376</v>
      </c>
      <c r="B3815" t="s">
        <v>498</v>
      </c>
      <c r="C3815">
        <v>0</v>
      </c>
      <c r="D3815">
        <v>0</v>
      </c>
      <c r="E3815">
        <v>0</v>
      </c>
      <c r="F3815">
        <v>0</v>
      </c>
      <c r="G3815">
        <v>0</v>
      </c>
      <c r="H3815">
        <v>0</v>
      </c>
      <c r="I3815" t="s">
        <v>22</v>
      </c>
      <c r="J3815" t="s">
        <v>22</v>
      </c>
    </row>
    <row r="3816" spans="1:10" x14ac:dyDescent="0.25">
      <c r="A3816" t="s">
        <v>2377</v>
      </c>
      <c r="B3816" t="s">
        <v>500</v>
      </c>
      <c r="C3816">
        <v>0</v>
      </c>
      <c r="D3816">
        <v>0</v>
      </c>
      <c r="E3816">
        <v>0</v>
      </c>
      <c r="F3816">
        <v>0</v>
      </c>
      <c r="G3816">
        <v>0</v>
      </c>
      <c r="H3816">
        <v>0</v>
      </c>
      <c r="I3816" t="s">
        <v>22</v>
      </c>
      <c r="J3816" t="s">
        <v>22</v>
      </c>
    </row>
    <row r="3817" spans="1:10" x14ac:dyDescent="0.25">
      <c r="C3817" t="s">
        <v>108</v>
      </c>
      <c r="D3817" t="s">
        <v>108</v>
      </c>
      <c r="E3817" t="s">
        <v>108</v>
      </c>
      <c r="F3817" t="s">
        <v>108</v>
      </c>
      <c r="G3817" t="s">
        <v>108</v>
      </c>
    </row>
    <row r="3818" spans="1:10" x14ac:dyDescent="0.25">
      <c r="H3818" t="s">
        <v>22</v>
      </c>
      <c r="I3818" t="s">
        <v>22</v>
      </c>
      <c r="J3818" t="s">
        <v>22</v>
      </c>
    </row>
    <row r="3819" spans="1:10" x14ac:dyDescent="0.25">
      <c r="A3819" t="s">
        <v>109</v>
      </c>
    </row>
    <row r="3820" spans="1:10" x14ac:dyDescent="0.25">
      <c r="B3820" t="s">
        <v>489</v>
      </c>
      <c r="C3820" s="2">
        <v>31372</v>
      </c>
      <c r="D3820" s="2">
        <v>23149</v>
      </c>
      <c r="E3820" s="2">
        <v>28443</v>
      </c>
      <c r="F3820" s="2">
        <v>37000</v>
      </c>
      <c r="G3820" s="2">
        <v>20983</v>
      </c>
      <c r="H3820">
        <v>0</v>
      </c>
    </row>
    <row r="3822" spans="1:10" x14ac:dyDescent="0.25">
      <c r="A3822" t="s">
        <v>501</v>
      </c>
    </row>
    <row r="3823" spans="1:10" x14ac:dyDescent="0.25">
      <c r="A3823" t="s">
        <v>18</v>
      </c>
    </row>
    <row r="3824" spans="1:10" x14ac:dyDescent="0.25">
      <c r="A3824" t="s">
        <v>2378</v>
      </c>
      <c r="B3824" t="s">
        <v>2379</v>
      </c>
      <c r="C3824">
        <v>0</v>
      </c>
      <c r="D3824">
        <v>0</v>
      </c>
      <c r="E3824">
        <v>0</v>
      </c>
      <c r="F3824">
        <v>0</v>
      </c>
      <c r="G3824">
        <v>0</v>
      </c>
      <c r="H3824">
        <v>0</v>
      </c>
      <c r="I3824" t="s">
        <v>22</v>
      </c>
      <c r="J3824" t="s">
        <v>22</v>
      </c>
    </row>
    <row r="3825" spans="1:10" x14ac:dyDescent="0.25">
      <c r="A3825" t="s">
        <v>2380</v>
      </c>
      <c r="B3825" t="s">
        <v>509</v>
      </c>
      <c r="C3825" s="2">
        <v>10783</v>
      </c>
      <c r="D3825" s="2">
        <v>7008</v>
      </c>
      <c r="E3825" s="2">
        <v>3062</v>
      </c>
      <c r="F3825" s="2">
        <v>7000</v>
      </c>
      <c r="G3825" s="2">
        <v>7335</v>
      </c>
      <c r="H3825">
        <v>0</v>
      </c>
      <c r="I3825" t="s">
        <v>22</v>
      </c>
      <c r="J3825" t="s">
        <v>22</v>
      </c>
    </row>
    <row r="3826" spans="1:10" x14ac:dyDescent="0.25">
      <c r="A3826" t="s">
        <v>2381</v>
      </c>
      <c r="B3826" t="s">
        <v>519</v>
      </c>
      <c r="C3826">
        <v>0</v>
      </c>
      <c r="D3826">
        <v>8</v>
      </c>
      <c r="E3826">
        <v>0</v>
      </c>
      <c r="F3826">
        <v>100</v>
      </c>
      <c r="G3826">
        <v>0</v>
      </c>
      <c r="H3826">
        <v>0</v>
      </c>
      <c r="I3826" t="s">
        <v>22</v>
      </c>
      <c r="J3826" t="s">
        <v>22</v>
      </c>
    </row>
    <row r="3827" spans="1:10" x14ac:dyDescent="0.25">
      <c r="A3827" t="s">
        <v>2382</v>
      </c>
      <c r="B3827" t="s">
        <v>521</v>
      </c>
      <c r="C3827">
        <v>0</v>
      </c>
      <c r="D3827">
        <v>0</v>
      </c>
      <c r="E3827" s="2">
        <v>1205</v>
      </c>
      <c r="F3827" s="2">
        <v>1600</v>
      </c>
      <c r="G3827" s="2">
        <v>2870</v>
      </c>
      <c r="H3827">
        <v>0</v>
      </c>
      <c r="I3827" t="s">
        <v>22</v>
      </c>
      <c r="J3827" t="s">
        <v>22</v>
      </c>
    </row>
    <row r="3828" spans="1:10" x14ac:dyDescent="0.25">
      <c r="A3828" t="s">
        <v>2383</v>
      </c>
      <c r="B3828" t="s">
        <v>2384</v>
      </c>
      <c r="C3828">
        <v>0</v>
      </c>
      <c r="D3828">
        <v>0</v>
      </c>
      <c r="E3828">
        <v>0</v>
      </c>
      <c r="F3828">
        <v>0</v>
      </c>
      <c r="G3828">
        <v>0</v>
      </c>
      <c r="H3828">
        <v>0</v>
      </c>
      <c r="I3828" t="s">
        <v>22</v>
      </c>
      <c r="J3828" t="s">
        <v>22</v>
      </c>
    </row>
    <row r="3829" spans="1:10" x14ac:dyDescent="0.25">
      <c r="A3829" t="s">
        <v>2385</v>
      </c>
      <c r="B3829" t="s">
        <v>2386</v>
      </c>
      <c r="C3829">
        <v>0</v>
      </c>
      <c r="D3829">
        <v>0</v>
      </c>
      <c r="E3829">
        <v>0</v>
      </c>
      <c r="F3829">
        <v>0</v>
      </c>
      <c r="G3829">
        <v>0</v>
      </c>
      <c r="H3829">
        <v>0</v>
      </c>
      <c r="I3829" t="s">
        <v>22</v>
      </c>
      <c r="J3829" t="s">
        <v>22</v>
      </c>
    </row>
    <row r="3830" spans="1:10" x14ac:dyDescent="0.25">
      <c r="C3830" t="s">
        <v>108</v>
      </c>
      <c r="D3830" t="s">
        <v>108</v>
      </c>
      <c r="E3830" t="s">
        <v>108</v>
      </c>
      <c r="F3830" t="s">
        <v>108</v>
      </c>
      <c r="G3830" t="s">
        <v>108</v>
      </c>
    </row>
    <row r="3831" spans="1:10" x14ac:dyDescent="0.25">
      <c r="H3831" t="s">
        <v>22</v>
      </c>
      <c r="I3831" t="s">
        <v>22</v>
      </c>
      <c r="J3831" t="s">
        <v>22</v>
      </c>
    </row>
    <row r="3832" spans="1:10" x14ac:dyDescent="0.25">
      <c r="A3832" t="s">
        <v>109</v>
      </c>
    </row>
    <row r="3833" spans="1:10" x14ac:dyDescent="0.25">
      <c r="B3833" t="s">
        <v>501</v>
      </c>
      <c r="C3833" s="2">
        <v>10783</v>
      </c>
      <c r="D3833" s="2">
        <v>7017</v>
      </c>
      <c r="E3833" s="2">
        <v>4267</v>
      </c>
      <c r="F3833" s="2">
        <v>8700</v>
      </c>
      <c r="G3833" s="2">
        <v>10205</v>
      </c>
      <c r="H3833">
        <v>0</v>
      </c>
    </row>
    <row r="3835" spans="1:10" x14ac:dyDescent="0.25">
      <c r="A3835" t="s">
        <v>524</v>
      </c>
      <c r="B3835" t="s">
        <v>525</v>
      </c>
    </row>
    <row r="3836" spans="1:10" x14ac:dyDescent="0.25">
      <c r="A3836" t="s">
        <v>18</v>
      </c>
      <c r="B3836" t="s">
        <v>526</v>
      </c>
    </row>
    <row r="3837" spans="1:10" x14ac:dyDescent="0.25">
      <c r="A3837" t="s">
        <v>2387</v>
      </c>
      <c r="B3837" t="s">
        <v>1282</v>
      </c>
      <c r="C3837">
        <v>1</v>
      </c>
      <c r="D3837">
        <v>0</v>
      </c>
      <c r="E3837" s="2">
        <v>14176</v>
      </c>
      <c r="F3837" s="2">
        <v>120676</v>
      </c>
      <c r="G3837" s="2">
        <v>86485</v>
      </c>
      <c r="H3837">
        <v>0</v>
      </c>
      <c r="I3837" t="s">
        <v>22</v>
      </c>
      <c r="J3837" t="s">
        <v>22</v>
      </c>
    </row>
    <row r="3838" spans="1:10" x14ac:dyDescent="0.25">
      <c r="A3838" t="s">
        <v>2388</v>
      </c>
      <c r="B3838" t="s">
        <v>660</v>
      </c>
      <c r="C3838">
        <v>0</v>
      </c>
      <c r="D3838">
        <v>0</v>
      </c>
      <c r="E3838">
        <v>0</v>
      </c>
      <c r="F3838">
        <v>0</v>
      </c>
      <c r="G3838">
        <v>0</v>
      </c>
      <c r="H3838">
        <v>0</v>
      </c>
      <c r="I3838" t="s">
        <v>22</v>
      </c>
      <c r="J3838" t="s">
        <v>22</v>
      </c>
    </row>
    <row r="3839" spans="1:10" x14ac:dyDescent="0.25">
      <c r="C3839" t="s">
        <v>108</v>
      </c>
      <c r="D3839" t="s">
        <v>108</v>
      </c>
      <c r="E3839" t="s">
        <v>108</v>
      </c>
      <c r="F3839" t="s">
        <v>108</v>
      </c>
      <c r="G3839" t="s">
        <v>108</v>
      </c>
    </row>
    <row r="3840" spans="1:10" x14ac:dyDescent="0.25">
      <c r="H3840" t="s">
        <v>22</v>
      </c>
      <c r="I3840" t="s">
        <v>22</v>
      </c>
      <c r="J3840" t="s">
        <v>22</v>
      </c>
    </row>
    <row r="3841" spans="1:10" x14ac:dyDescent="0.25">
      <c r="A3841" t="s">
        <v>109</v>
      </c>
    </row>
    <row r="3842" spans="1:10" x14ac:dyDescent="0.25">
      <c r="B3842" t="s">
        <v>530</v>
      </c>
      <c r="C3842">
        <v>1</v>
      </c>
      <c r="D3842">
        <v>0</v>
      </c>
      <c r="E3842" s="2">
        <v>14176</v>
      </c>
      <c r="F3842" s="2">
        <v>120676</v>
      </c>
      <c r="G3842" s="2">
        <v>86485</v>
      </c>
      <c r="H3842">
        <v>0</v>
      </c>
    </row>
    <row r="3843" spans="1:10" x14ac:dyDescent="0.25">
      <c r="A3843" t="s">
        <v>18</v>
      </c>
      <c r="B3843" t="s">
        <v>19</v>
      </c>
      <c r="C3843" t="s">
        <v>20</v>
      </c>
      <c r="D3843" t="s">
        <v>21</v>
      </c>
      <c r="E3843" t="s">
        <v>26</v>
      </c>
    </row>
    <row r="3844" spans="1:10" x14ac:dyDescent="0.25">
      <c r="E3844" t="s">
        <v>339</v>
      </c>
      <c r="F3844" t="s">
        <v>23</v>
      </c>
      <c r="G3844" t="s">
        <v>24</v>
      </c>
      <c r="H3844" t="s">
        <v>20</v>
      </c>
      <c r="I3844" t="s">
        <v>24</v>
      </c>
      <c r="J3844" t="s">
        <v>20</v>
      </c>
    </row>
    <row r="3845" spans="1:10" x14ac:dyDescent="0.25">
      <c r="A3845" t="s">
        <v>109</v>
      </c>
    </row>
    <row r="3846" spans="1:10" x14ac:dyDescent="0.25">
      <c r="A3846">
        <v>70</v>
      </c>
      <c r="B3846" t="e">
        <f>-SEWER SERVICES</f>
        <v>#NAME?</v>
      </c>
      <c r="C3846" s="2">
        <v>1040017</v>
      </c>
      <c r="D3846" s="2">
        <v>645934</v>
      </c>
      <c r="E3846" s="2">
        <v>817597</v>
      </c>
      <c r="F3846" s="2">
        <v>1375916</v>
      </c>
      <c r="G3846" s="2">
        <v>593202</v>
      </c>
      <c r="H3846">
        <v>0</v>
      </c>
    </row>
    <row r="3847" spans="1:10" x14ac:dyDescent="0.25">
      <c r="A3847" t="s">
        <v>110</v>
      </c>
    </row>
    <row r="3848" spans="1:10" x14ac:dyDescent="0.25">
      <c r="A3848" s="1">
        <v>43991</v>
      </c>
      <c r="B3848" t="s">
        <v>1615</v>
      </c>
      <c r="D3848" t="s">
        <v>112</v>
      </c>
      <c r="E3848" t="s">
        <v>113</v>
      </c>
      <c r="F3848" t="s">
        <v>114</v>
      </c>
      <c r="J3848" t="s">
        <v>857</v>
      </c>
    </row>
    <row r="3849" spans="1:10" x14ac:dyDescent="0.25">
      <c r="D3849" t="s">
        <v>116</v>
      </c>
      <c r="E3849" t="s">
        <v>117</v>
      </c>
      <c r="F3849" t="s">
        <v>118</v>
      </c>
    </row>
    <row r="3850" spans="1:10" x14ac:dyDescent="0.25">
      <c r="D3850" t="s">
        <v>119</v>
      </c>
      <c r="E3850" t="s">
        <v>120</v>
      </c>
      <c r="F3850" t="s">
        <v>121</v>
      </c>
    </row>
    <row r="3851" spans="1:10" x14ac:dyDescent="0.25">
      <c r="A3851" t="s">
        <v>1906</v>
      </c>
      <c r="B3851" t="s">
        <v>1907</v>
      </c>
    </row>
    <row r="3852" spans="1:10" x14ac:dyDescent="0.25">
      <c r="A3852" t="s">
        <v>386</v>
      </c>
    </row>
    <row r="3853" spans="1:10" x14ac:dyDescent="0.25">
      <c r="F3853" t="s">
        <v>2</v>
      </c>
      <c r="G3853" t="s">
        <v>3</v>
      </c>
      <c r="H3853" t="s">
        <v>4</v>
      </c>
      <c r="I3853" t="s">
        <v>5</v>
      </c>
      <c r="J3853" t="s">
        <v>6</v>
      </c>
    </row>
    <row r="3854" spans="1:10" x14ac:dyDescent="0.25">
      <c r="C3854" t="s">
        <v>7</v>
      </c>
      <c r="D3854" t="s">
        <v>8</v>
      </c>
      <c r="E3854" t="s">
        <v>9</v>
      </c>
      <c r="F3854" t="s">
        <v>10</v>
      </c>
      <c r="G3854" t="s">
        <v>124</v>
      </c>
      <c r="H3854" t="s">
        <v>12</v>
      </c>
      <c r="I3854" t="s">
        <v>13</v>
      </c>
      <c r="J3854" t="s">
        <v>14</v>
      </c>
    </row>
    <row r="3855" spans="1:10" x14ac:dyDescent="0.25">
      <c r="C3855" t="s">
        <v>15</v>
      </c>
      <c r="D3855" t="s">
        <v>15</v>
      </c>
      <c r="E3855" t="s">
        <v>15</v>
      </c>
      <c r="F3855" t="s">
        <v>16</v>
      </c>
      <c r="G3855" t="s">
        <v>15</v>
      </c>
      <c r="H3855" t="s">
        <v>17</v>
      </c>
      <c r="I3855" t="s">
        <v>16</v>
      </c>
      <c r="J3855" t="s">
        <v>16</v>
      </c>
    </row>
    <row r="3856" spans="1:10" x14ac:dyDescent="0.25">
      <c r="A3856" t="s">
        <v>18</v>
      </c>
      <c r="B3856" t="s">
        <v>19</v>
      </c>
      <c r="C3856" t="s">
        <v>20</v>
      </c>
      <c r="D3856" t="s">
        <v>21</v>
      </c>
      <c r="E3856" t="s">
        <v>22</v>
      </c>
      <c r="F3856" t="s">
        <v>23</v>
      </c>
      <c r="G3856" t="s">
        <v>24</v>
      </c>
      <c r="H3856" t="s">
        <v>20</v>
      </c>
      <c r="I3856" t="s">
        <v>24</v>
      </c>
      <c r="J3856" t="s">
        <v>20</v>
      </c>
    </row>
    <row r="3858" spans="1:10" x14ac:dyDescent="0.25">
      <c r="A3858" t="s">
        <v>2389</v>
      </c>
      <c r="B3858" t="s">
        <v>2390</v>
      </c>
    </row>
    <row r="3859" spans="1:10" x14ac:dyDescent="0.25">
      <c r="A3859" t="s">
        <v>389</v>
      </c>
      <c r="B3859" t="s">
        <v>1143</v>
      </c>
    </row>
    <row r="3861" spans="1:10" x14ac:dyDescent="0.25">
      <c r="A3861" t="s">
        <v>391</v>
      </c>
      <c r="B3861" t="s">
        <v>392</v>
      </c>
    </row>
    <row r="3862" spans="1:10" x14ac:dyDescent="0.25">
      <c r="A3862" t="s">
        <v>18</v>
      </c>
      <c r="B3862" t="s">
        <v>228</v>
      </c>
    </row>
    <row r="3863" spans="1:10" x14ac:dyDescent="0.25">
      <c r="A3863" t="s">
        <v>2391</v>
      </c>
      <c r="B3863" t="s">
        <v>569</v>
      </c>
      <c r="C3863" s="2">
        <v>4240</v>
      </c>
      <c r="D3863">
        <v>-286</v>
      </c>
      <c r="E3863">
        <v>0</v>
      </c>
      <c r="F3863">
        <v>0</v>
      </c>
      <c r="G3863">
        <v>0</v>
      </c>
      <c r="H3863">
        <v>0</v>
      </c>
      <c r="I3863" t="s">
        <v>22</v>
      </c>
      <c r="J3863" t="s">
        <v>22</v>
      </c>
    </row>
    <row r="3864" spans="1:10" x14ac:dyDescent="0.25">
      <c r="A3864" t="s">
        <v>2392</v>
      </c>
      <c r="B3864" t="s">
        <v>396</v>
      </c>
      <c r="C3864">
        <v>18</v>
      </c>
      <c r="D3864">
        <v>18</v>
      </c>
      <c r="E3864">
        <v>331</v>
      </c>
      <c r="F3864">
        <v>756</v>
      </c>
      <c r="G3864">
        <v>179</v>
      </c>
      <c r="H3864">
        <v>0</v>
      </c>
      <c r="I3864" t="s">
        <v>22</v>
      </c>
      <c r="J3864" t="s">
        <v>22</v>
      </c>
    </row>
    <row r="3865" spans="1:10" x14ac:dyDescent="0.25">
      <c r="A3865" t="s">
        <v>2393</v>
      </c>
      <c r="B3865" t="s">
        <v>398</v>
      </c>
      <c r="C3865" s="2">
        <v>9955</v>
      </c>
      <c r="D3865" s="2">
        <v>12725</v>
      </c>
      <c r="E3865" s="2">
        <v>10454</v>
      </c>
      <c r="F3865" s="2">
        <v>15012</v>
      </c>
      <c r="G3865" s="2">
        <v>6902</v>
      </c>
      <c r="H3865">
        <v>0</v>
      </c>
      <c r="I3865" t="s">
        <v>22</v>
      </c>
      <c r="J3865" t="s">
        <v>22</v>
      </c>
    </row>
    <row r="3866" spans="1:10" x14ac:dyDescent="0.25">
      <c r="A3866" t="s">
        <v>2394</v>
      </c>
      <c r="B3866" t="s">
        <v>400</v>
      </c>
      <c r="C3866" s="2">
        <v>11102</v>
      </c>
      <c r="D3866" s="2">
        <v>14423</v>
      </c>
      <c r="E3866" s="2">
        <v>12750</v>
      </c>
      <c r="F3866" s="2">
        <v>18623</v>
      </c>
      <c r="G3866" s="2">
        <v>7923</v>
      </c>
      <c r="H3866">
        <v>0</v>
      </c>
      <c r="I3866" t="s">
        <v>22</v>
      </c>
      <c r="J3866" t="s">
        <v>22</v>
      </c>
    </row>
    <row r="3867" spans="1:10" x14ac:dyDescent="0.25">
      <c r="A3867" t="s">
        <v>2395</v>
      </c>
      <c r="B3867" t="s">
        <v>574</v>
      </c>
      <c r="C3867" s="2">
        <v>28560</v>
      </c>
      <c r="D3867" s="2">
        <v>32485</v>
      </c>
      <c r="E3867" s="2">
        <v>35756</v>
      </c>
      <c r="F3867" s="2">
        <v>50011</v>
      </c>
      <c r="G3867" s="2">
        <v>18592</v>
      </c>
      <c r="H3867">
        <v>0</v>
      </c>
      <c r="I3867" t="s">
        <v>22</v>
      </c>
      <c r="J3867" t="s">
        <v>22</v>
      </c>
    </row>
    <row r="3868" spans="1:10" x14ac:dyDescent="0.25">
      <c r="A3868" t="s">
        <v>2396</v>
      </c>
      <c r="B3868" t="s">
        <v>404</v>
      </c>
      <c r="C3868" s="2">
        <v>1328</v>
      </c>
      <c r="D3868" s="2">
        <v>1547</v>
      </c>
      <c r="E3868" s="2">
        <v>1540</v>
      </c>
      <c r="F3868" s="2">
        <v>1962</v>
      </c>
      <c r="G3868">
        <v>751</v>
      </c>
      <c r="H3868">
        <v>0</v>
      </c>
      <c r="I3868" t="s">
        <v>22</v>
      </c>
      <c r="J3868" t="s">
        <v>22</v>
      </c>
    </row>
    <row r="3869" spans="1:10" x14ac:dyDescent="0.25">
      <c r="A3869" t="s">
        <v>2397</v>
      </c>
      <c r="B3869" t="s">
        <v>406</v>
      </c>
      <c r="C3869" s="2">
        <v>3003</v>
      </c>
      <c r="D3869" s="2">
        <v>2852</v>
      </c>
      <c r="E3869" s="2">
        <v>2849</v>
      </c>
      <c r="F3869" s="2">
        <v>3134</v>
      </c>
      <c r="G3869" s="2">
        <v>5069</v>
      </c>
      <c r="H3869">
        <v>0</v>
      </c>
      <c r="I3869" t="s">
        <v>22</v>
      </c>
      <c r="J3869" t="s">
        <v>22</v>
      </c>
    </row>
    <row r="3870" spans="1:10" x14ac:dyDescent="0.25">
      <c r="A3870" t="s">
        <v>2398</v>
      </c>
      <c r="B3870" t="s">
        <v>424</v>
      </c>
      <c r="C3870">
        <v>519</v>
      </c>
      <c r="D3870">
        <v>588</v>
      </c>
      <c r="E3870">
        <v>727</v>
      </c>
      <c r="F3870">
        <v>559</v>
      </c>
      <c r="G3870">
        <v>484</v>
      </c>
      <c r="H3870">
        <v>0</v>
      </c>
      <c r="I3870" t="s">
        <v>22</v>
      </c>
      <c r="J3870" t="s">
        <v>22</v>
      </c>
    </row>
    <row r="3871" spans="1:10" x14ac:dyDescent="0.25">
      <c r="A3871" t="s">
        <v>2399</v>
      </c>
      <c r="B3871" t="s">
        <v>426</v>
      </c>
      <c r="C3871">
        <v>810</v>
      </c>
      <c r="D3871">
        <v>810</v>
      </c>
      <c r="E3871" s="2">
        <v>1215</v>
      </c>
      <c r="F3871" s="2">
        <v>1215</v>
      </c>
      <c r="G3871">
        <v>830</v>
      </c>
      <c r="H3871">
        <v>0</v>
      </c>
      <c r="I3871" t="s">
        <v>22</v>
      </c>
      <c r="J3871" t="s">
        <v>22</v>
      </c>
    </row>
    <row r="3872" spans="1:10" x14ac:dyDescent="0.25">
      <c r="A3872" t="s">
        <v>2400</v>
      </c>
      <c r="B3872" t="s">
        <v>1204</v>
      </c>
      <c r="C3872">
        <v>180</v>
      </c>
      <c r="D3872">
        <v>360</v>
      </c>
      <c r="E3872">
        <v>540</v>
      </c>
      <c r="F3872">
        <v>540</v>
      </c>
      <c r="G3872">
        <v>360</v>
      </c>
      <c r="H3872">
        <v>0</v>
      </c>
      <c r="I3872" t="s">
        <v>22</v>
      </c>
      <c r="J3872" t="s">
        <v>22</v>
      </c>
    </row>
    <row r="3873" spans="1:10" x14ac:dyDescent="0.25">
      <c r="A3873" t="s">
        <v>2401</v>
      </c>
      <c r="B3873" t="s">
        <v>428</v>
      </c>
      <c r="C3873">
        <v>0</v>
      </c>
      <c r="D3873">
        <v>69</v>
      </c>
      <c r="E3873">
        <v>600</v>
      </c>
      <c r="F3873">
        <v>0</v>
      </c>
      <c r="G3873">
        <v>254</v>
      </c>
      <c r="H3873">
        <v>0</v>
      </c>
      <c r="I3873" t="s">
        <v>22</v>
      </c>
      <c r="J3873" t="s">
        <v>22</v>
      </c>
    </row>
    <row r="3874" spans="1:10" x14ac:dyDescent="0.25">
      <c r="A3874" t="s">
        <v>2402</v>
      </c>
      <c r="B3874" t="s">
        <v>430</v>
      </c>
      <c r="C3874">
        <v>69</v>
      </c>
      <c r="D3874">
        <v>69</v>
      </c>
      <c r="E3874">
        <v>104</v>
      </c>
      <c r="F3874">
        <v>104</v>
      </c>
      <c r="G3874">
        <v>69</v>
      </c>
      <c r="H3874">
        <v>0</v>
      </c>
      <c r="I3874" t="s">
        <v>22</v>
      </c>
      <c r="J3874" t="s">
        <v>22</v>
      </c>
    </row>
    <row r="3875" spans="1:10" x14ac:dyDescent="0.25">
      <c r="A3875" t="s">
        <v>2403</v>
      </c>
      <c r="B3875" t="s">
        <v>432</v>
      </c>
      <c r="C3875" s="2">
        <v>6669</v>
      </c>
      <c r="D3875" s="2">
        <v>21064</v>
      </c>
      <c r="E3875" s="2">
        <v>16808</v>
      </c>
      <c r="F3875" s="2">
        <v>15000</v>
      </c>
      <c r="G3875" s="2">
        <v>14892</v>
      </c>
      <c r="H3875">
        <v>0</v>
      </c>
      <c r="I3875" t="s">
        <v>22</v>
      </c>
      <c r="J3875" t="s">
        <v>22</v>
      </c>
    </row>
    <row r="3876" spans="1:10" x14ac:dyDescent="0.25">
      <c r="A3876" t="s">
        <v>2404</v>
      </c>
      <c r="B3876" t="s">
        <v>434</v>
      </c>
      <c r="C3876">
        <v>0</v>
      </c>
      <c r="D3876">
        <v>0</v>
      </c>
      <c r="E3876">
        <v>0</v>
      </c>
      <c r="F3876">
        <v>0</v>
      </c>
      <c r="G3876">
        <v>0</v>
      </c>
      <c r="H3876">
        <v>0</v>
      </c>
      <c r="I3876" t="s">
        <v>22</v>
      </c>
      <c r="J3876" t="s">
        <v>22</v>
      </c>
    </row>
    <row r="3877" spans="1:10" x14ac:dyDescent="0.25">
      <c r="A3877" t="s">
        <v>2405</v>
      </c>
      <c r="B3877" t="s">
        <v>436</v>
      </c>
      <c r="C3877">
        <v>0</v>
      </c>
      <c r="D3877">
        <v>0</v>
      </c>
      <c r="E3877">
        <v>0</v>
      </c>
      <c r="F3877">
        <v>0</v>
      </c>
      <c r="G3877">
        <v>0</v>
      </c>
      <c r="H3877">
        <v>0</v>
      </c>
      <c r="I3877" t="s">
        <v>22</v>
      </c>
      <c r="J3877" t="s">
        <v>22</v>
      </c>
    </row>
    <row r="3878" spans="1:10" x14ac:dyDescent="0.25">
      <c r="A3878" t="s">
        <v>2406</v>
      </c>
      <c r="B3878" t="s">
        <v>607</v>
      </c>
      <c r="C3878">
        <v>0</v>
      </c>
      <c r="D3878">
        <v>0</v>
      </c>
      <c r="E3878">
        <v>0</v>
      </c>
      <c r="F3878">
        <v>0</v>
      </c>
      <c r="G3878">
        <v>0</v>
      </c>
      <c r="H3878">
        <v>0</v>
      </c>
      <c r="I3878" t="s">
        <v>22</v>
      </c>
      <c r="J3878" t="s">
        <v>22</v>
      </c>
    </row>
    <row r="3879" spans="1:10" x14ac:dyDescent="0.25">
      <c r="A3879" t="s">
        <v>2407</v>
      </c>
      <c r="B3879" t="s">
        <v>2408</v>
      </c>
      <c r="C3879" s="2">
        <v>81932</v>
      </c>
      <c r="D3879" s="2">
        <v>83856</v>
      </c>
      <c r="E3879" s="2">
        <v>27076</v>
      </c>
      <c r="F3879" s="2">
        <v>91756</v>
      </c>
      <c r="G3879" s="2">
        <v>8654</v>
      </c>
      <c r="H3879">
        <v>0</v>
      </c>
      <c r="I3879" t="s">
        <v>22</v>
      </c>
      <c r="J3879" t="s">
        <v>22</v>
      </c>
    </row>
    <row r="3880" spans="1:10" x14ac:dyDescent="0.25">
      <c r="A3880" t="s">
        <v>2409</v>
      </c>
      <c r="B3880" t="s">
        <v>2410</v>
      </c>
      <c r="C3880" s="2">
        <v>45618</v>
      </c>
      <c r="D3880" s="2">
        <v>67008</v>
      </c>
      <c r="E3880" s="2">
        <v>96534</v>
      </c>
      <c r="F3880" s="2">
        <v>102103</v>
      </c>
      <c r="G3880" s="2">
        <v>66538</v>
      </c>
      <c r="H3880">
        <v>0</v>
      </c>
      <c r="I3880" t="s">
        <v>22</v>
      </c>
      <c r="J3880" t="s">
        <v>22</v>
      </c>
    </row>
    <row r="3881" spans="1:10" x14ac:dyDescent="0.25">
      <c r="A3881" t="s">
        <v>2411</v>
      </c>
      <c r="B3881" t="s">
        <v>1221</v>
      </c>
      <c r="C3881">
        <v>675</v>
      </c>
      <c r="D3881">
        <v>975</v>
      </c>
      <c r="E3881" s="2">
        <v>1500</v>
      </c>
      <c r="F3881">
        <v>0</v>
      </c>
      <c r="G3881" s="2">
        <v>1050</v>
      </c>
      <c r="H3881">
        <v>0</v>
      </c>
      <c r="I3881" t="s">
        <v>22</v>
      </c>
      <c r="J3881" t="s">
        <v>22</v>
      </c>
    </row>
    <row r="3882" spans="1:10" x14ac:dyDescent="0.25">
      <c r="C3882" t="s">
        <v>108</v>
      </c>
      <c r="D3882" t="s">
        <v>108</v>
      </c>
      <c r="E3882" t="s">
        <v>108</v>
      </c>
      <c r="F3882" t="s">
        <v>108</v>
      </c>
      <c r="G3882" t="s">
        <v>108</v>
      </c>
    </row>
    <row r="3883" spans="1:10" x14ac:dyDescent="0.25">
      <c r="H3883" t="s">
        <v>22</v>
      </c>
      <c r="I3883" t="s">
        <v>22</v>
      </c>
      <c r="J3883" t="s">
        <v>22</v>
      </c>
    </row>
    <row r="3884" spans="1:10" x14ac:dyDescent="0.25">
      <c r="A3884" t="s">
        <v>109</v>
      </c>
    </row>
    <row r="3885" spans="1:10" x14ac:dyDescent="0.25">
      <c r="B3885" t="s">
        <v>441</v>
      </c>
      <c r="C3885" s="2">
        <v>194677</v>
      </c>
      <c r="D3885" s="2">
        <v>238563</v>
      </c>
      <c r="E3885" s="2">
        <v>208783</v>
      </c>
      <c r="F3885" s="2">
        <v>300775</v>
      </c>
      <c r="G3885" s="2">
        <v>132547</v>
      </c>
      <c r="H3885">
        <v>0</v>
      </c>
    </row>
    <row r="3887" spans="1:10" x14ac:dyDescent="0.25">
      <c r="A3887" t="s">
        <v>442</v>
      </c>
      <c r="B3887" t="s">
        <v>443</v>
      </c>
    </row>
    <row r="3888" spans="1:10" x14ac:dyDescent="0.25">
      <c r="A3888" t="s">
        <v>18</v>
      </c>
      <c r="B3888" t="s">
        <v>21</v>
      </c>
    </row>
    <row r="3889" spans="1:10" x14ac:dyDescent="0.25">
      <c r="A3889" t="s">
        <v>2412</v>
      </c>
      <c r="B3889" t="s">
        <v>445</v>
      </c>
      <c r="C3889" s="2">
        <v>4322</v>
      </c>
      <c r="D3889" s="2">
        <v>3885</v>
      </c>
      <c r="E3889" s="2">
        <v>7688</v>
      </c>
      <c r="F3889" s="2">
        <v>8457</v>
      </c>
      <c r="G3889" s="2">
        <v>8381</v>
      </c>
      <c r="H3889">
        <v>0</v>
      </c>
      <c r="I3889" t="s">
        <v>22</v>
      </c>
      <c r="J3889" t="s">
        <v>22</v>
      </c>
    </row>
    <row r="3890" spans="1:10" x14ac:dyDescent="0.25">
      <c r="A3890" t="s">
        <v>2413</v>
      </c>
      <c r="B3890" t="s">
        <v>447</v>
      </c>
      <c r="C3890" s="2">
        <v>2374</v>
      </c>
      <c r="D3890" s="2">
        <v>2560</v>
      </c>
      <c r="E3890">
        <v>544</v>
      </c>
      <c r="F3890" s="2">
        <v>2000</v>
      </c>
      <c r="G3890">
        <v>622</v>
      </c>
      <c r="H3890">
        <v>0</v>
      </c>
      <c r="I3890" t="s">
        <v>22</v>
      </c>
      <c r="J3890" t="s">
        <v>22</v>
      </c>
    </row>
    <row r="3891" spans="1:10" x14ac:dyDescent="0.25">
      <c r="A3891" t="s">
        <v>2414</v>
      </c>
      <c r="B3891" t="s">
        <v>449</v>
      </c>
      <c r="C3891">
        <v>60</v>
      </c>
      <c r="D3891">
        <v>923</v>
      </c>
      <c r="E3891" s="2">
        <v>2028</v>
      </c>
      <c r="F3891" s="2">
        <v>1200</v>
      </c>
      <c r="G3891">
        <v>224</v>
      </c>
      <c r="H3891">
        <v>0</v>
      </c>
      <c r="I3891" t="s">
        <v>22</v>
      </c>
      <c r="J3891" t="s">
        <v>22</v>
      </c>
    </row>
    <row r="3892" spans="1:10" x14ac:dyDescent="0.25">
      <c r="A3892" t="s">
        <v>2415</v>
      </c>
      <c r="B3892" t="s">
        <v>451</v>
      </c>
      <c r="C3892" s="2">
        <v>3327</v>
      </c>
      <c r="D3892" s="2">
        <v>1723</v>
      </c>
      <c r="E3892" s="2">
        <v>2901</v>
      </c>
      <c r="F3892" s="2">
        <v>3000</v>
      </c>
      <c r="G3892">
        <v>935</v>
      </c>
      <c r="H3892">
        <v>0</v>
      </c>
      <c r="I3892" t="s">
        <v>22</v>
      </c>
      <c r="J3892" t="s">
        <v>22</v>
      </c>
    </row>
    <row r="3893" spans="1:10" x14ac:dyDescent="0.25">
      <c r="A3893" t="s">
        <v>2416</v>
      </c>
      <c r="B3893" t="s">
        <v>457</v>
      </c>
      <c r="C3893">
        <v>640</v>
      </c>
      <c r="D3893">
        <v>200</v>
      </c>
      <c r="E3893">
        <v>0</v>
      </c>
      <c r="F3893" s="2">
        <v>1000</v>
      </c>
      <c r="G3893">
        <v>0</v>
      </c>
      <c r="H3893">
        <v>0</v>
      </c>
      <c r="I3893" t="s">
        <v>22</v>
      </c>
      <c r="J3893" t="s">
        <v>22</v>
      </c>
    </row>
    <row r="3894" spans="1:10" x14ac:dyDescent="0.25">
      <c r="A3894" t="s">
        <v>2417</v>
      </c>
      <c r="B3894" t="s">
        <v>471</v>
      </c>
      <c r="C3894">
        <v>629</v>
      </c>
      <c r="D3894">
        <v>834</v>
      </c>
      <c r="E3894">
        <v>369</v>
      </c>
      <c r="F3894">
        <v>900</v>
      </c>
      <c r="G3894">
        <v>315</v>
      </c>
      <c r="H3894">
        <v>0</v>
      </c>
      <c r="I3894" t="s">
        <v>22</v>
      </c>
      <c r="J3894" t="s">
        <v>22</v>
      </c>
    </row>
    <row r="3895" spans="1:10" x14ac:dyDescent="0.25">
      <c r="A3895" t="s">
        <v>2418</v>
      </c>
      <c r="B3895" t="s">
        <v>1047</v>
      </c>
      <c r="C3895" s="2">
        <v>70379</v>
      </c>
      <c r="D3895" s="2">
        <v>64486</v>
      </c>
      <c r="E3895" s="2">
        <v>67205</v>
      </c>
      <c r="F3895" s="2">
        <v>80000</v>
      </c>
      <c r="G3895" s="2">
        <v>44853</v>
      </c>
      <c r="H3895">
        <v>0</v>
      </c>
      <c r="I3895" t="s">
        <v>22</v>
      </c>
      <c r="J3895" t="s">
        <v>22</v>
      </c>
    </row>
    <row r="3896" spans="1:10" x14ac:dyDescent="0.25">
      <c r="A3896" t="s">
        <v>2419</v>
      </c>
      <c r="B3896" t="s">
        <v>473</v>
      </c>
      <c r="C3896" s="2">
        <v>14378</v>
      </c>
      <c r="D3896" s="2">
        <v>18544</v>
      </c>
      <c r="E3896" s="2">
        <v>64003</v>
      </c>
      <c r="F3896" s="2">
        <v>120000</v>
      </c>
      <c r="G3896" s="2">
        <v>59488</v>
      </c>
      <c r="H3896">
        <v>0</v>
      </c>
      <c r="I3896" t="s">
        <v>22</v>
      </c>
      <c r="J3896" t="s">
        <v>22</v>
      </c>
    </row>
    <row r="3897" spans="1:10" x14ac:dyDescent="0.25">
      <c r="A3897" t="s">
        <v>2420</v>
      </c>
      <c r="B3897" t="s">
        <v>1241</v>
      </c>
      <c r="C3897" s="2">
        <v>17762</v>
      </c>
      <c r="D3897" s="2">
        <v>11900</v>
      </c>
      <c r="E3897" s="2">
        <v>6663</v>
      </c>
      <c r="F3897">
        <v>0</v>
      </c>
      <c r="G3897" s="2">
        <v>3095</v>
      </c>
      <c r="H3897">
        <v>0</v>
      </c>
      <c r="I3897" t="s">
        <v>22</v>
      </c>
      <c r="J3897" t="s">
        <v>22</v>
      </c>
    </row>
    <row r="3898" spans="1:10" x14ac:dyDescent="0.25">
      <c r="A3898" t="s">
        <v>2421</v>
      </c>
      <c r="B3898" t="s">
        <v>626</v>
      </c>
      <c r="C3898">
        <v>92</v>
      </c>
      <c r="D3898">
        <v>204</v>
      </c>
      <c r="E3898" s="2">
        <v>4564</v>
      </c>
      <c r="F3898" s="2">
        <v>1200</v>
      </c>
      <c r="G3898" s="2">
        <v>15210</v>
      </c>
      <c r="H3898">
        <v>0</v>
      </c>
      <c r="I3898" t="s">
        <v>22</v>
      </c>
      <c r="J3898" t="s">
        <v>22</v>
      </c>
    </row>
    <row r="3899" spans="1:10" x14ac:dyDescent="0.25">
      <c r="A3899" t="s">
        <v>2422</v>
      </c>
      <c r="B3899" t="s">
        <v>1246</v>
      </c>
      <c r="C3899">
        <v>0</v>
      </c>
      <c r="D3899">
        <v>0</v>
      </c>
      <c r="E3899">
        <v>0</v>
      </c>
      <c r="F3899">
        <v>0</v>
      </c>
      <c r="G3899">
        <v>517</v>
      </c>
      <c r="H3899">
        <v>0</v>
      </c>
      <c r="I3899" t="s">
        <v>22</v>
      </c>
      <c r="J3899" t="s">
        <v>22</v>
      </c>
    </row>
    <row r="3900" spans="1:10" x14ac:dyDescent="0.25">
      <c r="A3900" t="s">
        <v>2423</v>
      </c>
      <c r="B3900" t="s">
        <v>477</v>
      </c>
      <c r="C3900">
        <v>0</v>
      </c>
      <c r="D3900">
        <v>892</v>
      </c>
      <c r="E3900">
        <v>9</v>
      </c>
      <c r="F3900" s="2">
        <v>1500</v>
      </c>
      <c r="G3900">
        <v>0</v>
      </c>
      <c r="H3900">
        <v>0</v>
      </c>
      <c r="I3900" t="s">
        <v>22</v>
      </c>
      <c r="J3900" t="s">
        <v>22</v>
      </c>
    </row>
    <row r="3901" spans="1:10" x14ac:dyDescent="0.25">
      <c r="C3901" t="s">
        <v>108</v>
      </c>
      <c r="D3901" t="s">
        <v>108</v>
      </c>
      <c r="E3901" t="s">
        <v>108</v>
      </c>
      <c r="F3901" t="s">
        <v>108</v>
      </c>
      <c r="G3901" t="s">
        <v>108</v>
      </c>
    </row>
    <row r="3902" spans="1:10" x14ac:dyDescent="0.25">
      <c r="H3902" t="s">
        <v>22</v>
      </c>
      <c r="I3902" t="s">
        <v>22</v>
      </c>
      <c r="J3902" t="s">
        <v>22</v>
      </c>
    </row>
    <row r="3903" spans="1:10" x14ac:dyDescent="0.25">
      <c r="A3903" t="s">
        <v>109</v>
      </c>
    </row>
    <row r="3904" spans="1:10" x14ac:dyDescent="0.25">
      <c r="B3904" t="s">
        <v>478</v>
      </c>
      <c r="C3904" s="2">
        <v>113964</v>
      </c>
      <c r="D3904" s="2">
        <v>106151</v>
      </c>
      <c r="E3904" s="2">
        <v>155973</v>
      </c>
      <c r="F3904" s="2">
        <v>219257</v>
      </c>
      <c r="G3904" s="2">
        <v>133640</v>
      </c>
      <c r="H3904">
        <v>0</v>
      </c>
    </row>
    <row r="3906" spans="1:10" x14ac:dyDescent="0.25">
      <c r="A3906" t="s">
        <v>489</v>
      </c>
    </row>
    <row r="3907" spans="1:10" x14ac:dyDescent="0.25">
      <c r="A3907" t="s">
        <v>18</v>
      </c>
    </row>
    <row r="3908" spans="1:10" x14ac:dyDescent="0.25">
      <c r="A3908" t="s">
        <v>2424</v>
      </c>
      <c r="B3908" t="s">
        <v>491</v>
      </c>
      <c r="C3908">
        <v>0</v>
      </c>
      <c r="D3908">
        <v>0</v>
      </c>
      <c r="E3908">
        <v>0</v>
      </c>
      <c r="F3908">
        <v>0</v>
      </c>
      <c r="G3908">
        <v>0</v>
      </c>
      <c r="H3908">
        <v>0</v>
      </c>
      <c r="I3908" t="s">
        <v>22</v>
      </c>
      <c r="J3908" t="s">
        <v>22</v>
      </c>
    </row>
    <row r="3909" spans="1:10" x14ac:dyDescent="0.25">
      <c r="A3909" t="s">
        <v>2425</v>
      </c>
      <c r="B3909" t="s">
        <v>489</v>
      </c>
      <c r="C3909" s="2">
        <v>2427</v>
      </c>
      <c r="D3909" s="2">
        <v>5293</v>
      </c>
      <c r="E3909" s="2">
        <v>9736</v>
      </c>
      <c r="F3909" s="2">
        <v>12000</v>
      </c>
      <c r="G3909" s="2">
        <v>7801</v>
      </c>
      <c r="H3909">
        <v>0</v>
      </c>
      <c r="I3909" t="s">
        <v>22</v>
      </c>
      <c r="J3909" t="s">
        <v>22</v>
      </c>
    </row>
    <row r="3910" spans="1:10" x14ac:dyDescent="0.25">
      <c r="A3910" t="s">
        <v>2426</v>
      </c>
      <c r="B3910" t="s">
        <v>1252</v>
      </c>
      <c r="C3910">
        <v>0</v>
      </c>
      <c r="D3910">
        <v>0</v>
      </c>
      <c r="E3910" s="2">
        <v>1703</v>
      </c>
      <c r="F3910">
        <v>0</v>
      </c>
      <c r="G3910" s="2">
        <v>2705</v>
      </c>
      <c r="H3910">
        <v>0</v>
      </c>
      <c r="I3910" t="s">
        <v>22</v>
      </c>
      <c r="J3910" t="s">
        <v>22</v>
      </c>
    </row>
    <row r="3911" spans="1:10" x14ac:dyDescent="0.25">
      <c r="A3911" t="s">
        <v>2427</v>
      </c>
      <c r="B3911" t="s">
        <v>496</v>
      </c>
      <c r="C3911" s="2">
        <v>3906</v>
      </c>
      <c r="D3911" s="2">
        <v>3788</v>
      </c>
      <c r="E3911" s="2">
        <v>6104</v>
      </c>
      <c r="F3911" s="2">
        <v>7500</v>
      </c>
      <c r="G3911" s="2">
        <v>3533</v>
      </c>
      <c r="H3911">
        <v>0</v>
      </c>
      <c r="I3911" t="s">
        <v>22</v>
      </c>
      <c r="J3911" t="s">
        <v>22</v>
      </c>
    </row>
    <row r="3912" spans="1:10" x14ac:dyDescent="0.25">
      <c r="A3912" t="s">
        <v>2428</v>
      </c>
      <c r="B3912" t="s">
        <v>1259</v>
      </c>
      <c r="C3912" s="2">
        <v>33808</v>
      </c>
      <c r="D3912" s="2">
        <v>29542</v>
      </c>
      <c r="E3912" s="2">
        <v>28219</v>
      </c>
      <c r="F3912" s="2">
        <v>40000</v>
      </c>
      <c r="G3912" s="2">
        <v>18581</v>
      </c>
      <c r="H3912">
        <v>0</v>
      </c>
      <c r="I3912" t="s">
        <v>22</v>
      </c>
      <c r="J3912" t="s">
        <v>22</v>
      </c>
    </row>
    <row r="3913" spans="1:10" x14ac:dyDescent="0.25">
      <c r="A3913" t="s">
        <v>2429</v>
      </c>
      <c r="B3913" t="s">
        <v>2430</v>
      </c>
      <c r="C3913">
        <v>0</v>
      </c>
      <c r="D3913">
        <v>0</v>
      </c>
      <c r="E3913">
        <v>0</v>
      </c>
      <c r="F3913">
        <v>0</v>
      </c>
      <c r="G3913">
        <v>0</v>
      </c>
      <c r="H3913">
        <v>0</v>
      </c>
      <c r="I3913" t="s">
        <v>22</v>
      </c>
      <c r="J3913" t="s">
        <v>22</v>
      </c>
    </row>
    <row r="3914" spans="1:10" x14ac:dyDescent="0.25">
      <c r="A3914" t="s">
        <v>2431</v>
      </c>
      <c r="B3914" t="s">
        <v>498</v>
      </c>
      <c r="C3914">
        <v>0</v>
      </c>
      <c r="D3914">
        <v>0</v>
      </c>
      <c r="E3914">
        <v>0</v>
      </c>
      <c r="F3914">
        <v>0</v>
      </c>
      <c r="G3914">
        <v>0</v>
      </c>
      <c r="H3914">
        <v>0</v>
      </c>
      <c r="I3914" t="s">
        <v>22</v>
      </c>
      <c r="J3914" t="s">
        <v>22</v>
      </c>
    </row>
    <row r="3915" spans="1:10" x14ac:dyDescent="0.25">
      <c r="A3915" t="s">
        <v>2432</v>
      </c>
      <c r="B3915" t="s">
        <v>500</v>
      </c>
      <c r="C3915">
        <v>0</v>
      </c>
      <c r="D3915">
        <v>0</v>
      </c>
      <c r="E3915">
        <v>0</v>
      </c>
      <c r="F3915">
        <v>0</v>
      </c>
      <c r="G3915">
        <v>0</v>
      </c>
      <c r="H3915">
        <v>0</v>
      </c>
      <c r="I3915" t="s">
        <v>22</v>
      </c>
      <c r="J3915" t="s">
        <v>22</v>
      </c>
    </row>
    <row r="3916" spans="1:10" x14ac:dyDescent="0.25">
      <c r="C3916" t="s">
        <v>108</v>
      </c>
      <c r="D3916" t="s">
        <v>108</v>
      </c>
      <c r="E3916" t="s">
        <v>108</v>
      </c>
      <c r="F3916" t="s">
        <v>108</v>
      </c>
      <c r="G3916" t="s">
        <v>108</v>
      </c>
    </row>
    <row r="3917" spans="1:10" x14ac:dyDescent="0.25">
      <c r="H3917" t="s">
        <v>22</v>
      </c>
      <c r="I3917" t="s">
        <v>22</v>
      </c>
      <c r="J3917" t="s">
        <v>22</v>
      </c>
    </row>
    <row r="3918" spans="1:10" x14ac:dyDescent="0.25">
      <c r="A3918" t="s">
        <v>109</v>
      </c>
    </row>
    <row r="3919" spans="1:10" x14ac:dyDescent="0.25">
      <c r="B3919" t="s">
        <v>489</v>
      </c>
      <c r="C3919" s="2">
        <v>40141</v>
      </c>
      <c r="D3919" s="2">
        <v>38623</v>
      </c>
      <c r="E3919" s="2">
        <v>45762</v>
      </c>
      <c r="F3919" s="2">
        <v>59500</v>
      </c>
      <c r="G3919" s="2">
        <v>32620</v>
      </c>
      <c r="H3919">
        <v>0</v>
      </c>
    </row>
    <row r="3920" spans="1:10" x14ac:dyDescent="0.25">
      <c r="A3920" t="s">
        <v>110</v>
      </c>
    </row>
    <row r="3921" spans="1:10" x14ac:dyDescent="0.25">
      <c r="A3921" s="1">
        <v>43991</v>
      </c>
      <c r="B3921" t="s">
        <v>1615</v>
      </c>
      <c r="D3921" t="s">
        <v>112</v>
      </c>
      <c r="E3921" t="s">
        <v>113</v>
      </c>
      <c r="F3921" t="s">
        <v>114</v>
      </c>
      <c r="J3921" t="s">
        <v>900</v>
      </c>
    </row>
    <row r="3922" spans="1:10" x14ac:dyDescent="0.25">
      <c r="D3922" t="s">
        <v>116</v>
      </c>
      <c r="E3922" t="s">
        <v>117</v>
      </c>
      <c r="F3922" t="s">
        <v>118</v>
      </c>
    </row>
    <row r="3923" spans="1:10" x14ac:dyDescent="0.25">
      <c r="D3923" t="s">
        <v>119</v>
      </c>
      <c r="E3923" t="s">
        <v>120</v>
      </c>
      <c r="F3923" t="s">
        <v>121</v>
      </c>
    </row>
    <row r="3924" spans="1:10" x14ac:dyDescent="0.25">
      <c r="A3924" t="s">
        <v>1906</v>
      </c>
      <c r="B3924" t="s">
        <v>1907</v>
      </c>
    </row>
    <row r="3925" spans="1:10" x14ac:dyDescent="0.25">
      <c r="A3925" t="s">
        <v>386</v>
      </c>
    </row>
    <row r="3926" spans="1:10" x14ac:dyDescent="0.25">
      <c r="F3926" t="s">
        <v>2</v>
      </c>
      <c r="G3926" t="s">
        <v>3</v>
      </c>
      <c r="H3926" t="s">
        <v>4</v>
      </c>
      <c r="I3926" t="s">
        <v>5</v>
      </c>
      <c r="J3926" t="s">
        <v>6</v>
      </c>
    </row>
    <row r="3927" spans="1:10" x14ac:dyDescent="0.25">
      <c r="C3927" t="s">
        <v>7</v>
      </c>
      <c r="D3927" t="s">
        <v>8</v>
      </c>
      <c r="E3927" t="s">
        <v>9</v>
      </c>
      <c r="F3927" t="s">
        <v>10</v>
      </c>
      <c r="G3927" t="s">
        <v>124</v>
      </c>
      <c r="H3927" t="s">
        <v>12</v>
      </c>
      <c r="I3927" t="s">
        <v>13</v>
      </c>
      <c r="J3927" t="s">
        <v>14</v>
      </c>
    </row>
    <row r="3928" spans="1:10" x14ac:dyDescent="0.25">
      <c r="C3928" t="s">
        <v>15</v>
      </c>
      <c r="D3928" t="s">
        <v>15</v>
      </c>
      <c r="E3928" t="s">
        <v>15</v>
      </c>
      <c r="F3928" t="s">
        <v>16</v>
      </c>
      <c r="G3928" t="s">
        <v>15</v>
      </c>
      <c r="H3928" t="s">
        <v>17</v>
      </c>
      <c r="I3928" t="s">
        <v>16</v>
      </c>
      <c r="J3928" t="s">
        <v>16</v>
      </c>
    </row>
    <row r="3929" spans="1:10" x14ac:dyDescent="0.25">
      <c r="A3929" t="s">
        <v>18</v>
      </c>
      <c r="B3929" t="s">
        <v>19</v>
      </c>
      <c r="C3929" t="s">
        <v>20</v>
      </c>
      <c r="D3929" t="s">
        <v>21</v>
      </c>
      <c r="E3929" t="s">
        <v>22</v>
      </c>
      <c r="F3929" t="s">
        <v>23</v>
      </c>
      <c r="G3929" t="s">
        <v>24</v>
      </c>
      <c r="H3929" t="s">
        <v>20</v>
      </c>
      <c r="I3929" t="s">
        <v>24</v>
      </c>
      <c r="J3929" t="s">
        <v>20</v>
      </c>
    </row>
    <row r="3931" spans="1:10" x14ac:dyDescent="0.25">
      <c r="A3931" t="s">
        <v>501</v>
      </c>
    </row>
    <row r="3932" spans="1:10" x14ac:dyDescent="0.25">
      <c r="A3932" t="s">
        <v>18</v>
      </c>
    </row>
    <row r="3933" spans="1:10" x14ac:dyDescent="0.25">
      <c r="A3933" t="s">
        <v>2433</v>
      </c>
      <c r="B3933" t="s">
        <v>2261</v>
      </c>
      <c r="C3933" s="2">
        <v>9635</v>
      </c>
      <c r="D3933" s="2">
        <v>12845</v>
      </c>
      <c r="E3933" s="2">
        <v>10509</v>
      </c>
      <c r="F3933" s="2">
        <v>12500</v>
      </c>
      <c r="G3933" s="2">
        <v>4210</v>
      </c>
      <c r="H3933">
        <v>0</v>
      </c>
      <c r="I3933" t="s">
        <v>22</v>
      </c>
      <c r="J3933" t="s">
        <v>22</v>
      </c>
    </row>
    <row r="3934" spans="1:10" x14ac:dyDescent="0.25">
      <c r="A3934" t="s">
        <v>2434</v>
      </c>
      <c r="B3934" t="s">
        <v>509</v>
      </c>
      <c r="C3934" s="2">
        <v>6528</v>
      </c>
      <c r="D3934" s="2">
        <v>5596</v>
      </c>
      <c r="E3934" s="2">
        <v>11456</v>
      </c>
      <c r="F3934" s="2">
        <v>6000</v>
      </c>
      <c r="G3934" s="2">
        <v>60330</v>
      </c>
      <c r="H3934">
        <v>0</v>
      </c>
      <c r="I3934" t="s">
        <v>22</v>
      </c>
      <c r="J3934" t="s">
        <v>22</v>
      </c>
    </row>
    <row r="3935" spans="1:10" x14ac:dyDescent="0.25">
      <c r="A3935" t="s">
        <v>2435</v>
      </c>
      <c r="B3935" t="s">
        <v>519</v>
      </c>
      <c r="C3935">
        <v>0</v>
      </c>
      <c r="D3935">
        <v>135</v>
      </c>
      <c r="E3935" s="2">
        <v>1459</v>
      </c>
      <c r="F3935" s="2">
        <v>2500</v>
      </c>
      <c r="G3935">
        <v>0</v>
      </c>
      <c r="H3935">
        <v>0</v>
      </c>
      <c r="I3935" t="s">
        <v>22</v>
      </c>
      <c r="J3935" t="s">
        <v>22</v>
      </c>
    </row>
    <row r="3936" spans="1:10" x14ac:dyDescent="0.25">
      <c r="A3936" t="s">
        <v>2436</v>
      </c>
      <c r="B3936" t="s">
        <v>521</v>
      </c>
      <c r="C3936">
        <v>0</v>
      </c>
      <c r="D3936">
        <v>0</v>
      </c>
      <c r="E3936">
        <v>0</v>
      </c>
      <c r="F3936">
        <v>250</v>
      </c>
      <c r="G3936">
        <v>0</v>
      </c>
      <c r="H3936">
        <v>0</v>
      </c>
      <c r="I3936" t="s">
        <v>22</v>
      </c>
      <c r="J3936" t="s">
        <v>22</v>
      </c>
    </row>
    <row r="3937" spans="1:10" x14ac:dyDescent="0.25">
      <c r="A3937" t="s">
        <v>2437</v>
      </c>
      <c r="B3937" t="s">
        <v>1085</v>
      </c>
      <c r="C3937" s="2">
        <v>57056</v>
      </c>
      <c r="D3937" s="2">
        <v>89838</v>
      </c>
      <c r="E3937" s="2">
        <v>106733</v>
      </c>
      <c r="F3937" s="2">
        <v>150000</v>
      </c>
      <c r="G3937" s="2">
        <v>92525</v>
      </c>
      <c r="H3937">
        <v>0</v>
      </c>
      <c r="I3937" t="s">
        <v>22</v>
      </c>
      <c r="J3937" t="s">
        <v>22</v>
      </c>
    </row>
    <row r="3938" spans="1:10" x14ac:dyDescent="0.25">
      <c r="C3938" t="s">
        <v>108</v>
      </c>
      <c r="D3938" t="s">
        <v>108</v>
      </c>
      <c r="E3938" t="s">
        <v>108</v>
      </c>
      <c r="F3938" t="s">
        <v>108</v>
      </c>
      <c r="G3938" t="s">
        <v>108</v>
      </c>
    </row>
    <row r="3939" spans="1:10" x14ac:dyDescent="0.25">
      <c r="H3939" t="s">
        <v>22</v>
      </c>
      <c r="I3939" t="s">
        <v>22</v>
      </c>
      <c r="J3939" t="s">
        <v>22</v>
      </c>
    </row>
    <row r="3940" spans="1:10" x14ac:dyDescent="0.25">
      <c r="A3940" t="s">
        <v>109</v>
      </c>
    </row>
    <row r="3941" spans="1:10" x14ac:dyDescent="0.25">
      <c r="B3941" t="s">
        <v>501</v>
      </c>
      <c r="C3941" s="2">
        <v>73219</v>
      </c>
      <c r="D3941" s="2">
        <v>108414</v>
      </c>
      <c r="E3941" s="2">
        <v>130157</v>
      </c>
      <c r="F3941" s="2">
        <v>171250</v>
      </c>
      <c r="G3941" s="2">
        <v>157065</v>
      </c>
      <c r="H3941">
        <v>0</v>
      </c>
    </row>
    <row r="3943" spans="1:10" x14ac:dyDescent="0.25">
      <c r="A3943" t="s">
        <v>524</v>
      </c>
      <c r="B3943" t="s">
        <v>525</v>
      </c>
    </row>
    <row r="3944" spans="1:10" x14ac:dyDescent="0.25">
      <c r="A3944" t="s">
        <v>18</v>
      </c>
      <c r="B3944" t="s">
        <v>526</v>
      </c>
    </row>
    <row r="3945" spans="1:10" x14ac:dyDescent="0.25">
      <c r="A3945" t="s">
        <v>2438</v>
      </c>
      <c r="B3945" t="s">
        <v>1282</v>
      </c>
      <c r="C3945">
        <v>0</v>
      </c>
      <c r="D3945">
        <v>0</v>
      </c>
      <c r="E3945">
        <v>0</v>
      </c>
      <c r="F3945" s="2">
        <v>22000</v>
      </c>
      <c r="G3945" s="2">
        <v>8957</v>
      </c>
      <c r="H3945">
        <v>0</v>
      </c>
      <c r="I3945" t="s">
        <v>22</v>
      </c>
      <c r="J3945" t="s">
        <v>22</v>
      </c>
    </row>
    <row r="3946" spans="1:10" x14ac:dyDescent="0.25">
      <c r="A3946" t="s">
        <v>2439</v>
      </c>
      <c r="B3946" t="s">
        <v>534</v>
      </c>
      <c r="C3946">
        <v>0</v>
      </c>
      <c r="D3946">
        <v>0</v>
      </c>
      <c r="E3946">
        <v>0</v>
      </c>
      <c r="F3946">
        <v>0</v>
      </c>
      <c r="G3946">
        <v>0</v>
      </c>
      <c r="H3946">
        <v>0</v>
      </c>
      <c r="I3946" t="s">
        <v>22</v>
      </c>
      <c r="J3946" t="s">
        <v>22</v>
      </c>
    </row>
    <row r="3947" spans="1:10" x14ac:dyDescent="0.25">
      <c r="A3947" t="s">
        <v>2440</v>
      </c>
      <c r="B3947" t="s">
        <v>2441</v>
      </c>
      <c r="C3947">
        <v>0</v>
      </c>
      <c r="D3947">
        <v>0</v>
      </c>
      <c r="E3947">
        <v>0</v>
      </c>
      <c r="F3947">
        <v>0</v>
      </c>
      <c r="G3947" s="2">
        <v>283386</v>
      </c>
      <c r="H3947">
        <v>0</v>
      </c>
      <c r="I3947" t="s">
        <v>22</v>
      </c>
      <c r="J3947" t="s">
        <v>22</v>
      </c>
    </row>
    <row r="3948" spans="1:10" x14ac:dyDescent="0.25">
      <c r="C3948" t="s">
        <v>108</v>
      </c>
      <c r="D3948" t="s">
        <v>108</v>
      </c>
      <c r="E3948" t="s">
        <v>108</v>
      </c>
      <c r="F3948" t="s">
        <v>108</v>
      </c>
      <c r="G3948" t="s">
        <v>108</v>
      </c>
    </row>
    <row r="3949" spans="1:10" x14ac:dyDescent="0.25">
      <c r="H3949" t="s">
        <v>22</v>
      </c>
      <c r="I3949" t="s">
        <v>22</v>
      </c>
      <c r="J3949" t="s">
        <v>22</v>
      </c>
    </row>
    <row r="3950" spans="1:10" x14ac:dyDescent="0.25">
      <c r="A3950" t="s">
        <v>109</v>
      </c>
    </row>
    <row r="3951" spans="1:10" x14ac:dyDescent="0.25">
      <c r="B3951" t="s">
        <v>530</v>
      </c>
      <c r="C3951">
        <v>0</v>
      </c>
      <c r="D3951">
        <v>0</v>
      </c>
      <c r="E3951">
        <v>0</v>
      </c>
      <c r="F3951" s="2">
        <v>22000</v>
      </c>
      <c r="G3951" s="2">
        <v>292344</v>
      </c>
      <c r="H3951">
        <v>0</v>
      </c>
    </row>
    <row r="3952" spans="1:10" x14ac:dyDescent="0.25">
      <c r="A3952" t="s">
        <v>18</v>
      </c>
      <c r="B3952" t="s">
        <v>19</v>
      </c>
      <c r="C3952" t="s">
        <v>20</v>
      </c>
      <c r="D3952" t="s">
        <v>21</v>
      </c>
      <c r="E3952" t="s">
        <v>26</v>
      </c>
    </row>
    <row r="3953" spans="1:10" x14ac:dyDescent="0.25">
      <c r="E3953" t="s">
        <v>339</v>
      </c>
      <c r="F3953" t="s">
        <v>23</v>
      </c>
      <c r="G3953" t="s">
        <v>24</v>
      </c>
      <c r="H3953" t="s">
        <v>20</v>
      </c>
      <c r="I3953" t="s">
        <v>24</v>
      </c>
      <c r="J3953" t="s">
        <v>20</v>
      </c>
    </row>
    <row r="3954" spans="1:10" x14ac:dyDescent="0.25">
      <c r="A3954" t="s">
        <v>109</v>
      </c>
    </row>
    <row r="3955" spans="1:10" x14ac:dyDescent="0.25">
      <c r="A3955">
        <v>75</v>
      </c>
      <c r="B3955" t="e">
        <f>-SEWER PLANT</f>
        <v>#NAME?</v>
      </c>
      <c r="C3955" s="2">
        <v>422000</v>
      </c>
      <c r="D3955" s="2">
        <v>491751</v>
      </c>
      <c r="E3955" s="2">
        <v>540675</v>
      </c>
      <c r="F3955" s="2">
        <v>772782</v>
      </c>
      <c r="G3955" s="2">
        <v>748215</v>
      </c>
      <c r="H3955">
        <v>0</v>
      </c>
    </row>
    <row r="3957" spans="1:10" x14ac:dyDescent="0.25">
      <c r="A3957" t="s">
        <v>2442</v>
      </c>
      <c r="B3957" t="s">
        <v>2443</v>
      </c>
    </row>
    <row r="3958" spans="1:10" x14ac:dyDescent="0.25">
      <c r="A3958" t="s">
        <v>389</v>
      </c>
      <c r="B3958" t="s">
        <v>982</v>
      </c>
    </row>
    <row r="3960" spans="1:10" x14ac:dyDescent="0.25">
      <c r="A3960" t="s">
        <v>391</v>
      </c>
      <c r="B3960" t="s">
        <v>392</v>
      </c>
    </row>
    <row r="3961" spans="1:10" x14ac:dyDescent="0.25">
      <c r="A3961" t="s">
        <v>18</v>
      </c>
      <c r="B3961" t="s">
        <v>228</v>
      </c>
    </row>
    <row r="3962" spans="1:10" x14ac:dyDescent="0.25">
      <c r="A3962" t="s">
        <v>2444</v>
      </c>
      <c r="B3962" t="s">
        <v>569</v>
      </c>
      <c r="C3962" s="2">
        <v>3289</v>
      </c>
      <c r="D3962" s="2">
        <v>-3467</v>
      </c>
      <c r="E3962">
        <v>0</v>
      </c>
      <c r="F3962">
        <v>0</v>
      </c>
      <c r="G3962">
        <v>0</v>
      </c>
      <c r="H3962">
        <v>0</v>
      </c>
      <c r="I3962" t="s">
        <v>22</v>
      </c>
      <c r="J3962" t="s">
        <v>22</v>
      </c>
    </row>
    <row r="3963" spans="1:10" x14ac:dyDescent="0.25">
      <c r="A3963" t="s">
        <v>2445</v>
      </c>
      <c r="B3963" t="s">
        <v>396</v>
      </c>
      <c r="C3963">
        <v>27</v>
      </c>
      <c r="D3963">
        <v>27</v>
      </c>
      <c r="E3963">
        <v>234</v>
      </c>
      <c r="F3963">
        <v>756</v>
      </c>
      <c r="G3963">
        <v>63</v>
      </c>
      <c r="H3963">
        <v>0</v>
      </c>
      <c r="I3963" t="s">
        <v>22</v>
      </c>
      <c r="J3963" t="s">
        <v>22</v>
      </c>
    </row>
    <row r="3964" spans="1:10" x14ac:dyDescent="0.25">
      <c r="A3964" t="s">
        <v>2446</v>
      </c>
      <c r="B3964" t="s">
        <v>398</v>
      </c>
      <c r="C3964" s="2">
        <v>9407</v>
      </c>
      <c r="D3964" s="2">
        <v>10974</v>
      </c>
      <c r="E3964" s="2">
        <v>8359</v>
      </c>
      <c r="F3964" s="2">
        <v>11244</v>
      </c>
      <c r="G3964" s="2">
        <v>3404</v>
      </c>
      <c r="H3964">
        <v>0</v>
      </c>
      <c r="I3964" t="s">
        <v>22</v>
      </c>
      <c r="J3964" t="s">
        <v>22</v>
      </c>
    </row>
    <row r="3965" spans="1:10" x14ac:dyDescent="0.25">
      <c r="A3965" t="s">
        <v>2447</v>
      </c>
      <c r="B3965" t="s">
        <v>400</v>
      </c>
      <c r="C3965" s="2">
        <v>10126</v>
      </c>
      <c r="D3965" s="2">
        <v>11845</v>
      </c>
      <c r="E3965" s="2">
        <v>9760</v>
      </c>
      <c r="F3965" s="2">
        <v>13949</v>
      </c>
      <c r="G3965" s="2">
        <v>3715</v>
      </c>
      <c r="H3965">
        <v>0</v>
      </c>
      <c r="I3965" t="s">
        <v>22</v>
      </c>
      <c r="J3965" t="s">
        <v>22</v>
      </c>
    </row>
    <row r="3966" spans="1:10" x14ac:dyDescent="0.25">
      <c r="A3966" t="s">
        <v>2448</v>
      </c>
      <c r="B3966" t="s">
        <v>574</v>
      </c>
      <c r="C3966" s="2">
        <v>33798</v>
      </c>
      <c r="D3966" s="2">
        <v>20734</v>
      </c>
      <c r="E3966" s="2">
        <v>21727</v>
      </c>
      <c r="F3966" s="2">
        <v>42239</v>
      </c>
      <c r="G3966" s="2">
        <v>8252</v>
      </c>
      <c r="H3966">
        <v>0</v>
      </c>
      <c r="I3966" t="s">
        <v>22</v>
      </c>
      <c r="J3966" t="s">
        <v>22</v>
      </c>
    </row>
    <row r="3967" spans="1:10" x14ac:dyDescent="0.25">
      <c r="A3967" t="s">
        <v>2449</v>
      </c>
      <c r="B3967" t="s">
        <v>404</v>
      </c>
      <c r="C3967" s="2">
        <v>1826</v>
      </c>
      <c r="D3967" s="2">
        <v>1762</v>
      </c>
      <c r="E3967" s="2">
        <v>1318</v>
      </c>
      <c r="F3967" s="2">
        <v>1962</v>
      </c>
      <c r="G3967">
        <v>414</v>
      </c>
      <c r="H3967">
        <v>0</v>
      </c>
      <c r="I3967" t="s">
        <v>22</v>
      </c>
      <c r="J3967" t="s">
        <v>22</v>
      </c>
    </row>
    <row r="3968" spans="1:10" x14ac:dyDescent="0.25">
      <c r="A3968" t="s">
        <v>2450</v>
      </c>
      <c r="B3968" t="s">
        <v>406</v>
      </c>
      <c r="C3968">
        <v>618</v>
      </c>
      <c r="D3968" s="2">
        <v>2046</v>
      </c>
      <c r="E3968" s="2">
        <v>2710</v>
      </c>
      <c r="F3968" s="2">
        <v>2981</v>
      </c>
      <c r="G3968" s="2">
        <v>3875</v>
      </c>
      <c r="H3968">
        <v>0</v>
      </c>
      <c r="I3968" t="s">
        <v>22</v>
      </c>
      <c r="J3968" t="s">
        <v>22</v>
      </c>
    </row>
    <row r="3969" spans="1:10" x14ac:dyDescent="0.25">
      <c r="A3969" t="s">
        <v>2451</v>
      </c>
      <c r="B3969" t="s">
        <v>424</v>
      </c>
      <c r="C3969">
        <v>484</v>
      </c>
      <c r="D3969">
        <v>796</v>
      </c>
      <c r="E3969">
        <v>657</v>
      </c>
      <c r="F3969">
        <v>761</v>
      </c>
      <c r="G3969">
        <v>346</v>
      </c>
      <c r="H3969">
        <v>0</v>
      </c>
      <c r="I3969" t="s">
        <v>22</v>
      </c>
      <c r="J3969" t="s">
        <v>22</v>
      </c>
    </row>
    <row r="3970" spans="1:10" x14ac:dyDescent="0.25">
      <c r="A3970" t="s">
        <v>2452</v>
      </c>
      <c r="B3970" t="s">
        <v>426</v>
      </c>
      <c r="C3970">
        <v>810</v>
      </c>
      <c r="D3970" s="2">
        <v>1215</v>
      </c>
      <c r="E3970">
        <v>810</v>
      </c>
      <c r="F3970">
        <v>810</v>
      </c>
      <c r="G3970">
        <v>415</v>
      </c>
      <c r="H3970">
        <v>0</v>
      </c>
      <c r="I3970" t="s">
        <v>22</v>
      </c>
      <c r="J3970" t="s">
        <v>22</v>
      </c>
    </row>
    <row r="3971" spans="1:10" x14ac:dyDescent="0.25">
      <c r="A3971" t="s">
        <v>2453</v>
      </c>
      <c r="B3971" t="s">
        <v>1204</v>
      </c>
      <c r="C3971">
        <v>540</v>
      </c>
      <c r="D3971">
        <v>540</v>
      </c>
      <c r="E3971">
        <v>360</v>
      </c>
      <c r="F3971">
        <v>360</v>
      </c>
      <c r="G3971">
        <v>180</v>
      </c>
      <c r="H3971">
        <v>0</v>
      </c>
      <c r="I3971" t="s">
        <v>22</v>
      </c>
      <c r="J3971" t="s">
        <v>22</v>
      </c>
    </row>
    <row r="3972" spans="1:10" x14ac:dyDescent="0.25">
      <c r="A3972" t="s">
        <v>2454</v>
      </c>
      <c r="B3972" t="s">
        <v>428</v>
      </c>
      <c r="C3972">
        <v>600</v>
      </c>
      <c r="D3972">
        <v>392</v>
      </c>
      <c r="E3972">
        <v>0</v>
      </c>
      <c r="F3972">
        <v>0</v>
      </c>
      <c r="G3972">
        <v>0</v>
      </c>
      <c r="H3972">
        <v>0</v>
      </c>
      <c r="I3972" t="s">
        <v>22</v>
      </c>
      <c r="J3972" t="s">
        <v>22</v>
      </c>
    </row>
    <row r="3973" spans="1:10" x14ac:dyDescent="0.25">
      <c r="A3973" t="s">
        <v>2455</v>
      </c>
      <c r="B3973" t="s">
        <v>430</v>
      </c>
      <c r="C3973">
        <v>104</v>
      </c>
      <c r="D3973">
        <v>104</v>
      </c>
      <c r="E3973">
        <v>69</v>
      </c>
      <c r="F3973">
        <v>35</v>
      </c>
      <c r="G3973">
        <v>35</v>
      </c>
      <c r="H3973">
        <v>0</v>
      </c>
      <c r="I3973" t="s">
        <v>22</v>
      </c>
      <c r="J3973" t="s">
        <v>22</v>
      </c>
    </row>
    <row r="3974" spans="1:10" x14ac:dyDescent="0.25">
      <c r="A3974" t="s">
        <v>2456</v>
      </c>
      <c r="B3974" t="s">
        <v>432</v>
      </c>
      <c r="C3974" s="2">
        <v>8307</v>
      </c>
      <c r="D3974" s="2">
        <v>18886</v>
      </c>
      <c r="E3974" s="2">
        <v>8406</v>
      </c>
      <c r="F3974" s="2">
        <v>8000</v>
      </c>
      <c r="G3974" s="2">
        <v>1511</v>
      </c>
      <c r="H3974">
        <v>0</v>
      </c>
      <c r="I3974" t="s">
        <v>22</v>
      </c>
      <c r="J3974" t="s">
        <v>22</v>
      </c>
    </row>
    <row r="3975" spans="1:10" x14ac:dyDescent="0.25">
      <c r="A3975" t="s">
        <v>2457</v>
      </c>
      <c r="B3975" t="s">
        <v>434</v>
      </c>
      <c r="C3975">
        <v>0</v>
      </c>
      <c r="D3975">
        <v>0</v>
      </c>
      <c r="E3975">
        <v>0</v>
      </c>
      <c r="F3975">
        <v>0</v>
      </c>
      <c r="G3975">
        <v>0</v>
      </c>
      <c r="H3975">
        <v>0</v>
      </c>
      <c r="I3975" t="s">
        <v>22</v>
      </c>
      <c r="J3975" t="s">
        <v>22</v>
      </c>
    </row>
    <row r="3976" spans="1:10" x14ac:dyDescent="0.25">
      <c r="A3976" t="s">
        <v>2458</v>
      </c>
      <c r="B3976" t="s">
        <v>436</v>
      </c>
      <c r="C3976">
        <v>0</v>
      </c>
      <c r="D3976">
        <v>0</v>
      </c>
      <c r="E3976">
        <v>0</v>
      </c>
      <c r="F3976">
        <v>0</v>
      </c>
      <c r="G3976">
        <v>0</v>
      </c>
      <c r="H3976">
        <v>0</v>
      </c>
      <c r="I3976" t="s">
        <v>22</v>
      </c>
      <c r="J3976" t="s">
        <v>22</v>
      </c>
    </row>
    <row r="3977" spans="1:10" x14ac:dyDescent="0.25">
      <c r="A3977" t="s">
        <v>2459</v>
      </c>
      <c r="B3977" t="s">
        <v>607</v>
      </c>
      <c r="C3977">
        <v>0</v>
      </c>
      <c r="D3977">
        <v>0</v>
      </c>
      <c r="E3977">
        <v>0</v>
      </c>
      <c r="F3977">
        <v>0</v>
      </c>
      <c r="G3977">
        <v>0</v>
      </c>
      <c r="H3977">
        <v>0</v>
      </c>
      <c r="I3977" t="s">
        <v>22</v>
      </c>
      <c r="J3977" t="s">
        <v>22</v>
      </c>
    </row>
    <row r="3978" spans="1:10" x14ac:dyDescent="0.25">
      <c r="A3978" t="s">
        <v>2460</v>
      </c>
      <c r="B3978" t="s">
        <v>2461</v>
      </c>
      <c r="C3978" s="2">
        <v>42997</v>
      </c>
      <c r="D3978" s="2">
        <v>52031</v>
      </c>
      <c r="E3978" s="2">
        <v>52224</v>
      </c>
      <c r="F3978" s="2">
        <v>54928</v>
      </c>
      <c r="G3978" s="2">
        <v>5627</v>
      </c>
      <c r="H3978">
        <v>0</v>
      </c>
      <c r="I3978" t="s">
        <v>22</v>
      </c>
      <c r="J3978" t="s">
        <v>22</v>
      </c>
    </row>
    <row r="3979" spans="1:10" x14ac:dyDescent="0.25">
      <c r="A3979" t="s">
        <v>2462</v>
      </c>
      <c r="B3979" t="s">
        <v>2463</v>
      </c>
      <c r="C3979">
        <v>0</v>
      </c>
      <c r="D3979">
        <v>0</v>
      </c>
      <c r="E3979">
        <v>0</v>
      </c>
      <c r="F3979">
        <v>0</v>
      </c>
      <c r="G3979">
        <v>0</v>
      </c>
      <c r="H3979">
        <v>0</v>
      </c>
      <c r="I3979" t="s">
        <v>22</v>
      </c>
      <c r="J3979" t="s">
        <v>22</v>
      </c>
    </row>
    <row r="3980" spans="1:10" x14ac:dyDescent="0.25">
      <c r="A3980" t="s">
        <v>2464</v>
      </c>
      <c r="B3980" t="s">
        <v>2465</v>
      </c>
      <c r="C3980" s="2">
        <v>68947</v>
      </c>
      <c r="D3980" s="2">
        <v>68053</v>
      </c>
      <c r="E3980" s="2">
        <v>46513</v>
      </c>
      <c r="F3980" s="2">
        <v>89434</v>
      </c>
      <c r="G3980" s="2">
        <v>36923</v>
      </c>
      <c r="H3980">
        <v>0</v>
      </c>
      <c r="I3980" t="s">
        <v>22</v>
      </c>
      <c r="J3980" t="s">
        <v>22</v>
      </c>
    </row>
    <row r="3981" spans="1:10" x14ac:dyDescent="0.25">
      <c r="A3981" t="s">
        <v>2466</v>
      </c>
      <c r="B3981" t="s">
        <v>1221</v>
      </c>
      <c r="C3981" s="2">
        <v>1725</v>
      </c>
      <c r="D3981" s="2">
        <v>1650</v>
      </c>
      <c r="E3981" s="2">
        <v>1050</v>
      </c>
      <c r="F3981">
        <v>0</v>
      </c>
      <c r="G3981">
        <v>0</v>
      </c>
      <c r="H3981">
        <v>0</v>
      </c>
      <c r="I3981" t="s">
        <v>22</v>
      </c>
      <c r="J3981" t="s">
        <v>22</v>
      </c>
    </row>
    <row r="3982" spans="1:10" x14ac:dyDescent="0.25">
      <c r="C3982" t="s">
        <v>108</v>
      </c>
      <c r="D3982" t="s">
        <v>108</v>
      </c>
      <c r="E3982" t="s">
        <v>108</v>
      </c>
      <c r="F3982" t="s">
        <v>108</v>
      </c>
      <c r="G3982" t="s">
        <v>108</v>
      </c>
    </row>
    <row r="3983" spans="1:10" x14ac:dyDescent="0.25">
      <c r="H3983" t="s">
        <v>22</v>
      </c>
      <c r="I3983" t="s">
        <v>22</v>
      </c>
      <c r="J3983" t="s">
        <v>22</v>
      </c>
    </row>
    <row r="3984" spans="1:10" x14ac:dyDescent="0.25">
      <c r="A3984" t="s">
        <v>109</v>
      </c>
    </row>
    <row r="3985" spans="1:10" x14ac:dyDescent="0.25">
      <c r="B3985" t="s">
        <v>441</v>
      </c>
      <c r="C3985" s="2">
        <v>183606</v>
      </c>
      <c r="D3985" s="2">
        <v>187588</v>
      </c>
      <c r="E3985" s="2">
        <v>154197</v>
      </c>
      <c r="F3985" s="2">
        <v>227459</v>
      </c>
      <c r="G3985" s="2">
        <v>64758</v>
      </c>
      <c r="H3985">
        <v>0</v>
      </c>
    </row>
    <row r="3987" spans="1:10" x14ac:dyDescent="0.25">
      <c r="A3987" t="s">
        <v>442</v>
      </c>
      <c r="B3987" t="s">
        <v>443</v>
      </c>
    </row>
    <row r="3988" spans="1:10" x14ac:dyDescent="0.25">
      <c r="A3988" t="s">
        <v>18</v>
      </c>
      <c r="B3988" t="s">
        <v>21</v>
      </c>
    </row>
    <row r="3989" spans="1:10" x14ac:dyDescent="0.25">
      <c r="A3989" t="s">
        <v>2467</v>
      </c>
      <c r="B3989" t="s">
        <v>445</v>
      </c>
      <c r="C3989" s="2">
        <v>2953</v>
      </c>
      <c r="D3989">
        <v>673</v>
      </c>
      <c r="E3989" s="2">
        <v>3124</v>
      </c>
      <c r="F3989" s="2">
        <v>3436</v>
      </c>
      <c r="G3989" s="2">
        <v>3257</v>
      </c>
      <c r="H3989">
        <v>0</v>
      </c>
      <c r="I3989" t="s">
        <v>22</v>
      </c>
      <c r="J3989" t="s">
        <v>22</v>
      </c>
    </row>
    <row r="3990" spans="1:10" x14ac:dyDescent="0.25">
      <c r="A3990" t="s">
        <v>2468</v>
      </c>
      <c r="B3990" t="s">
        <v>447</v>
      </c>
      <c r="C3990">
        <v>456</v>
      </c>
      <c r="D3990" s="2">
        <v>1909</v>
      </c>
      <c r="E3990">
        <v>363</v>
      </c>
      <c r="F3990">
        <v>500</v>
      </c>
      <c r="G3990">
        <v>273</v>
      </c>
      <c r="H3990">
        <v>0</v>
      </c>
      <c r="I3990" t="s">
        <v>22</v>
      </c>
      <c r="J3990" t="s">
        <v>22</v>
      </c>
    </row>
    <row r="3991" spans="1:10" x14ac:dyDescent="0.25">
      <c r="A3991" t="s">
        <v>2469</v>
      </c>
      <c r="B3991" t="s">
        <v>449</v>
      </c>
      <c r="C3991">
        <v>0</v>
      </c>
      <c r="D3991">
        <v>392</v>
      </c>
      <c r="E3991">
        <v>0</v>
      </c>
      <c r="F3991">
        <v>250</v>
      </c>
      <c r="G3991">
        <v>0</v>
      </c>
      <c r="H3991">
        <v>0</v>
      </c>
      <c r="I3991" t="s">
        <v>22</v>
      </c>
      <c r="J3991" t="s">
        <v>22</v>
      </c>
    </row>
    <row r="3992" spans="1:10" x14ac:dyDescent="0.25">
      <c r="A3992" t="s">
        <v>2470</v>
      </c>
      <c r="B3992" t="s">
        <v>451</v>
      </c>
      <c r="C3992">
        <v>0</v>
      </c>
      <c r="D3992" s="2">
        <v>1381</v>
      </c>
      <c r="E3992" s="2">
        <v>1114</v>
      </c>
      <c r="F3992" s="2">
        <v>2000</v>
      </c>
      <c r="G3992">
        <v>530</v>
      </c>
      <c r="H3992">
        <v>0</v>
      </c>
      <c r="I3992" t="s">
        <v>22</v>
      </c>
      <c r="J3992" t="s">
        <v>22</v>
      </c>
    </row>
    <row r="3993" spans="1:10" x14ac:dyDescent="0.25">
      <c r="A3993" t="s">
        <v>2471</v>
      </c>
      <c r="B3993" t="s">
        <v>465</v>
      </c>
      <c r="C3993">
        <v>0</v>
      </c>
      <c r="D3993">
        <v>0</v>
      </c>
      <c r="E3993">
        <v>0</v>
      </c>
      <c r="F3993" s="2">
        <v>1000</v>
      </c>
      <c r="G3993">
        <v>0</v>
      </c>
      <c r="H3993">
        <v>0</v>
      </c>
      <c r="I3993" t="s">
        <v>22</v>
      </c>
      <c r="J3993" t="s">
        <v>22</v>
      </c>
    </row>
    <row r="3994" spans="1:10" x14ac:dyDescent="0.25">
      <c r="A3994" t="s">
        <v>2472</v>
      </c>
      <c r="B3994" t="s">
        <v>471</v>
      </c>
      <c r="C3994">
        <v>578</v>
      </c>
      <c r="D3994">
        <v>966</v>
      </c>
      <c r="E3994">
        <v>763</v>
      </c>
      <c r="F3994">
        <v>900</v>
      </c>
      <c r="G3994">
        <v>630</v>
      </c>
      <c r="H3994">
        <v>0</v>
      </c>
      <c r="I3994" t="s">
        <v>22</v>
      </c>
      <c r="J3994" t="s">
        <v>22</v>
      </c>
    </row>
    <row r="3995" spans="1:10" x14ac:dyDescent="0.25">
      <c r="A3995" t="s">
        <v>110</v>
      </c>
    </row>
    <row r="3996" spans="1:10" x14ac:dyDescent="0.25">
      <c r="A3996" s="1">
        <v>43991</v>
      </c>
      <c r="B3996" t="s">
        <v>1615</v>
      </c>
      <c r="D3996" t="s">
        <v>112</v>
      </c>
      <c r="E3996" t="s">
        <v>113</v>
      </c>
      <c r="F3996" t="s">
        <v>114</v>
      </c>
      <c r="J3996" t="s">
        <v>942</v>
      </c>
    </row>
    <row r="3997" spans="1:10" x14ac:dyDescent="0.25">
      <c r="D3997" t="s">
        <v>116</v>
      </c>
      <c r="E3997" t="s">
        <v>117</v>
      </c>
      <c r="F3997" t="s">
        <v>118</v>
      </c>
    </row>
    <row r="3998" spans="1:10" x14ac:dyDescent="0.25">
      <c r="D3998" t="s">
        <v>119</v>
      </c>
      <c r="E3998" t="s">
        <v>120</v>
      </c>
      <c r="F3998" t="s">
        <v>121</v>
      </c>
    </row>
    <row r="3999" spans="1:10" x14ac:dyDescent="0.25">
      <c r="A3999" t="s">
        <v>1906</v>
      </c>
      <c r="B3999" t="s">
        <v>1907</v>
      </c>
    </row>
    <row r="4000" spans="1:10" x14ac:dyDescent="0.25">
      <c r="A4000" t="s">
        <v>386</v>
      </c>
    </row>
    <row r="4001" spans="1:10" x14ac:dyDescent="0.25">
      <c r="F4001" t="s">
        <v>2</v>
      </c>
      <c r="G4001" t="s">
        <v>3</v>
      </c>
      <c r="H4001" t="s">
        <v>4</v>
      </c>
      <c r="I4001" t="s">
        <v>5</v>
      </c>
      <c r="J4001" t="s">
        <v>6</v>
      </c>
    </row>
    <row r="4002" spans="1:10" x14ac:dyDescent="0.25">
      <c r="C4002" t="s">
        <v>7</v>
      </c>
      <c r="D4002" t="s">
        <v>8</v>
      </c>
      <c r="E4002" t="s">
        <v>9</v>
      </c>
      <c r="F4002" t="s">
        <v>10</v>
      </c>
      <c r="G4002" t="s">
        <v>124</v>
      </c>
      <c r="H4002" t="s">
        <v>12</v>
      </c>
      <c r="I4002" t="s">
        <v>13</v>
      </c>
      <c r="J4002" t="s">
        <v>14</v>
      </c>
    </row>
    <row r="4003" spans="1:10" x14ac:dyDescent="0.25">
      <c r="C4003" t="s">
        <v>15</v>
      </c>
      <c r="D4003" t="s">
        <v>15</v>
      </c>
      <c r="E4003" t="s">
        <v>15</v>
      </c>
      <c r="F4003" t="s">
        <v>16</v>
      </c>
      <c r="G4003" t="s">
        <v>15</v>
      </c>
      <c r="H4003" t="s">
        <v>17</v>
      </c>
      <c r="I4003" t="s">
        <v>16</v>
      </c>
      <c r="J4003" t="s">
        <v>16</v>
      </c>
    </row>
    <row r="4004" spans="1:10" x14ac:dyDescent="0.25">
      <c r="A4004" t="s">
        <v>18</v>
      </c>
      <c r="B4004" t="s">
        <v>19</v>
      </c>
      <c r="C4004" t="s">
        <v>20</v>
      </c>
      <c r="D4004" t="s">
        <v>21</v>
      </c>
      <c r="E4004" t="s">
        <v>22</v>
      </c>
      <c r="F4004" t="s">
        <v>23</v>
      </c>
      <c r="G4004" t="s">
        <v>24</v>
      </c>
      <c r="H4004" t="s">
        <v>20</v>
      </c>
      <c r="I4004" t="s">
        <v>24</v>
      </c>
      <c r="J4004" t="s">
        <v>20</v>
      </c>
    </row>
    <row r="4005" spans="1:10" x14ac:dyDescent="0.25">
      <c r="A4005" t="s">
        <v>2473</v>
      </c>
      <c r="B4005" t="s">
        <v>1047</v>
      </c>
      <c r="C4005" s="2">
        <v>37797</v>
      </c>
      <c r="D4005" s="2">
        <v>35411</v>
      </c>
      <c r="E4005" s="2">
        <v>42643</v>
      </c>
      <c r="F4005" s="2">
        <v>58000</v>
      </c>
      <c r="G4005" s="2">
        <v>32983</v>
      </c>
      <c r="H4005">
        <v>0</v>
      </c>
      <c r="I4005" t="s">
        <v>22</v>
      </c>
      <c r="J4005" t="s">
        <v>22</v>
      </c>
    </row>
    <row r="4006" spans="1:10" x14ac:dyDescent="0.25">
      <c r="A4006" t="s">
        <v>2474</v>
      </c>
      <c r="B4006" t="s">
        <v>473</v>
      </c>
      <c r="C4006" s="2">
        <v>19965</v>
      </c>
      <c r="D4006" s="2">
        <v>10320</v>
      </c>
      <c r="E4006" s="2">
        <v>31982</v>
      </c>
      <c r="F4006" s="2">
        <v>80000</v>
      </c>
      <c r="G4006" s="2">
        <v>37033</v>
      </c>
      <c r="H4006">
        <v>0</v>
      </c>
      <c r="I4006" t="s">
        <v>22</v>
      </c>
      <c r="J4006" t="s">
        <v>22</v>
      </c>
    </row>
    <row r="4007" spans="1:10" x14ac:dyDescent="0.25">
      <c r="A4007" t="s">
        <v>2475</v>
      </c>
      <c r="B4007" t="s">
        <v>2476</v>
      </c>
      <c r="C4007">
        <v>100</v>
      </c>
      <c r="D4007">
        <v>0</v>
      </c>
      <c r="E4007">
        <v>0</v>
      </c>
      <c r="F4007">
        <v>0</v>
      </c>
      <c r="G4007">
        <v>0</v>
      </c>
      <c r="H4007">
        <v>0</v>
      </c>
      <c r="I4007" t="s">
        <v>22</v>
      </c>
      <c r="J4007" t="s">
        <v>22</v>
      </c>
    </row>
    <row r="4008" spans="1:10" x14ac:dyDescent="0.25">
      <c r="A4008" t="s">
        <v>2477</v>
      </c>
      <c r="B4008" t="s">
        <v>1241</v>
      </c>
      <c r="C4008" s="2">
        <v>2415</v>
      </c>
      <c r="D4008">
        <v>0</v>
      </c>
      <c r="E4008">
        <v>0</v>
      </c>
      <c r="F4008">
        <v>0</v>
      </c>
      <c r="G4008">
        <v>0</v>
      </c>
      <c r="H4008">
        <v>0</v>
      </c>
      <c r="I4008" t="s">
        <v>22</v>
      </c>
      <c r="J4008" t="s">
        <v>22</v>
      </c>
    </row>
    <row r="4009" spans="1:10" x14ac:dyDescent="0.25">
      <c r="A4009" t="s">
        <v>2478</v>
      </c>
      <c r="B4009" t="s">
        <v>626</v>
      </c>
      <c r="C4009" s="2">
        <v>1632</v>
      </c>
      <c r="D4009" s="2">
        <v>2962</v>
      </c>
      <c r="E4009" s="2">
        <v>1652</v>
      </c>
      <c r="F4009" s="2">
        <v>3000</v>
      </c>
      <c r="G4009">
        <v>286</v>
      </c>
      <c r="H4009">
        <v>0</v>
      </c>
      <c r="I4009" t="s">
        <v>22</v>
      </c>
      <c r="J4009" t="s">
        <v>22</v>
      </c>
    </row>
    <row r="4010" spans="1:10" x14ac:dyDescent="0.25">
      <c r="A4010" t="s">
        <v>2479</v>
      </c>
      <c r="B4010" t="s">
        <v>1246</v>
      </c>
      <c r="C4010" s="2">
        <v>3564</v>
      </c>
      <c r="D4010">
        <v>0</v>
      </c>
      <c r="E4010">
        <v>503</v>
      </c>
      <c r="F4010">
        <v>0</v>
      </c>
      <c r="G4010">
        <v>517</v>
      </c>
      <c r="H4010">
        <v>0</v>
      </c>
      <c r="I4010" t="s">
        <v>22</v>
      </c>
      <c r="J4010" t="s">
        <v>22</v>
      </c>
    </row>
    <row r="4011" spans="1:10" x14ac:dyDescent="0.25">
      <c r="A4011" t="s">
        <v>2480</v>
      </c>
      <c r="B4011" t="s">
        <v>475</v>
      </c>
      <c r="C4011">
        <v>278</v>
      </c>
      <c r="D4011">
        <v>83</v>
      </c>
      <c r="E4011">
        <v>21</v>
      </c>
      <c r="F4011">
        <v>250</v>
      </c>
      <c r="G4011">
        <v>0</v>
      </c>
      <c r="H4011">
        <v>0</v>
      </c>
      <c r="I4011" t="s">
        <v>22</v>
      </c>
      <c r="J4011" t="s">
        <v>22</v>
      </c>
    </row>
    <row r="4012" spans="1:10" x14ac:dyDescent="0.25">
      <c r="A4012" t="s">
        <v>2481</v>
      </c>
      <c r="B4012" t="s">
        <v>477</v>
      </c>
      <c r="C4012">
        <v>0</v>
      </c>
      <c r="D4012">
        <v>0</v>
      </c>
      <c r="E4012">
        <v>0</v>
      </c>
      <c r="F4012">
        <v>0</v>
      </c>
      <c r="G4012">
        <v>0</v>
      </c>
      <c r="H4012">
        <v>0</v>
      </c>
      <c r="I4012" t="s">
        <v>22</v>
      </c>
      <c r="J4012" t="s">
        <v>22</v>
      </c>
    </row>
    <row r="4013" spans="1:10" x14ac:dyDescent="0.25">
      <c r="C4013" t="s">
        <v>108</v>
      </c>
      <c r="D4013" t="s">
        <v>108</v>
      </c>
      <c r="E4013" t="s">
        <v>108</v>
      </c>
      <c r="F4013" t="s">
        <v>108</v>
      </c>
      <c r="G4013" t="s">
        <v>108</v>
      </c>
    </row>
    <row r="4014" spans="1:10" x14ac:dyDescent="0.25">
      <c r="H4014" t="s">
        <v>22</v>
      </c>
      <c r="I4014" t="s">
        <v>22</v>
      </c>
      <c r="J4014" t="s">
        <v>22</v>
      </c>
    </row>
    <row r="4015" spans="1:10" x14ac:dyDescent="0.25">
      <c r="A4015" t="s">
        <v>109</v>
      </c>
    </row>
    <row r="4016" spans="1:10" x14ac:dyDescent="0.25">
      <c r="B4016" t="s">
        <v>478</v>
      </c>
      <c r="C4016" s="2">
        <v>69739</v>
      </c>
      <c r="D4016" s="2">
        <v>54097</v>
      </c>
      <c r="E4016" s="2">
        <v>82164</v>
      </c>
      <c r="F4016" s="2">
        <v>149336</v>
      </c>
      <c r="G4016" s="2">
        <v>75508</v>
      </c>
      <c r="H4016">
        <v>0</v>
      </c>
    </row>
    <row r="4018" spans="1:10" x14ac:dyDescent="0.25">
      <c r="A4018" t="s">
        <v>489</v>
      </c>
    </row>
    <row r="4019" spans="1:10" x14ac:dyDescent="0.25">
      <c r="A4019" t="s">
        <v>18</v>
      </c>
    </row>
    <row r="4020" spans="1:10" x14ac:dyDescent="0.25">
      <c r="A4020" t="s">
        <v>2482</v>
      </c>
      <c r="B4020" t="s">
        <v>489</v>
      </c>
      <c r="C4020" s="2">
        <v>7937</v>
      </c>
      <c r="D4020" s="2">
        <v>1459</v>
      </c>
      <c r="E4020" s="2">
        <v>1159</v>
      </c>
      <c r="F4020" s="2">
        <v>3500</v>
      </c>
      <c r="G4020">
        <v>852</v>
      </c>
      <c r="H4020">
        <v>0</v>
      </c>
      <c r="I4020" t="s">
        <v>22</v>
      </c>
      <c r="J4020" t="s">
        <v>22</v>
      </c>
    </row>
    <row r="4021" spans="1:10" x14ac:dyDescent="0.25">
      <c r="A4021" t="s">
        <v>2483</v>
      </c>
      <c r="B4021" t="s">
        <v>1252</v>
      </c>
      <c r="C4021">
        <v>0</v>
      </c>
      <c r="D4021">
        <v>85</v>
      </c>
      <c r="E4021">
        <v>298</v>
      </c>
      <c r="F4021">
        <v>300</v>
      </c>
      <c r="G4021">
        <v>90</v>
      </c>
      <c r="H4021">
        <v>0</v>
      </c>
      <c r="I4021" t="s">
        <v>22</v>
      </c>
      <c r="J4021" t="s">
        <v>22</v>
      </c>
    </row>
    <row r="4022" spans="1:10" x14ac:dyDescent="0.25">
      <c r="A4022" t="s">
        <v>2484</v>
      </c>
      <c r="B4022" t="s">
        <v>496</v>
      </c>
      <c r="C4022" s="2">
        <v>8230</v>
      </c>
      <c r="D4022" s="2">
        <v>7253</v>
      </c>
      <c r="E4022" s="2">
        <v>5335</v>
      </c>
      <c r="F4022" s="2">
        <v>7200</v>
      </c>
      <c r="G4022" s="2">
        <v>1274</v>
      </c>
      <c r="H4022">
        <v>0</v>
      </c>
      <c r="I4022" t="s">
        <v>22</v>
      </c>
      <c r="J4022" t="s">
        <v>22</v>
      </c>
    </row>
    <row r="4023" spans="1:10" x14ac:dyDescent="0.25">
      <c r="A4023" t="s">
        <v>2485</v>
      </c>
      <c r="B4023" t="s">
        <v>1259</v>
      </c>
      <c r="C4023" s="2">
        <v>7095</v>
      </c>
      <c r="D4023" s="2">
        <v>1491</v>
      </c>
      <c r="E4023" s="2">
        <v>3337</v>
      </c>
      <c r="F4023" s="2">
        <v>6200</v>
      </c>
      <c r="G4023">
        <v>560</v>
      </c>
      <c r="H4023">
        <v>0</v>
      </c>
      <c r="I4023" t="s">
        <v>22</v>
      </c>
      <c r="J4023" t="s">
        <v>22</v>
      </c>
    </row>
    <row r="4024" spans="1:10" x14ac:dyDescent="0.25">
      <c r="A4024" t="s">
        <v>2486</v>
      </c>
      <c r="B4024" t="s">
        <v>1878</v>
      </c>
      <c r="C4024">
        <v>0</v>
      </c>
      <c r="D4024">
        <v>0</v>
      </c>
      <c r="E4024">
        <v>0</v>
      </c>
      <c r="F4024">
        <v>0</v>
      </c>
      <c r="G4024">
        <v>0</v>
      </c>
      <c r="H4024">
        <v>0</v>
      </c>
      <c r="I4024" t="s">
        <v>22</v>
      </c>
      <c r="J4024" t="s">
        <v>22</v>
      </c>
    </row>
    <row r="4025" spans="1:10" x14ac:dyDescent="0.25">
      <c r="A4025" t="s">
        <v>2487</v>
      </c>
      <c r="B4025" t="s">
        <v>498</v>
      </c>
      <c r="C4025">
        <v>0</v>
      </c>
      <c r="D4025">
        <v>0</v>
      </c>
      <c r="E4025">
        <v>0</v>
      </c>
      <c r="F4025">
        <v>0</v>
      </c>
      <c r="G4025">
        <v>0</v>
      </c>
      <c r="H4025">
        <v>0</v>
      </c>
      <c r="I4025" t="s">
        <v>22</v>
      </c>
      <c r="J4025" t="s">
        <v>22</v>
      </c>
    </row>
    <row r="4026" spans="1:10" x14ac:dyDescent="0.25">
      <c r="A4026" t="s">
        <v>2488</v>
      </c>
      <c r="B4026" t="s">
        <v>500</v>
      </c>
      <c r="C4026">
        <v>0</v>
      </c>
      <c r="D4026">
        <v>0</v>
      </c>
      <c r="E4026">
        <v>0</v>
      </c>
      <c r="F4026">
        <v>0</v>
      </c>
      <c r="G4026">
        <v>0</v>
      </c>
      <c r="H4026">
        <v>0</v>
      </c>
      <c r="I4026" t="s">
        <v>22</v>
      </c>
      <c r="J4026" t="s">
        <v>22</v>
      </c>
    </row>
    <row r="4027" spans="1:10" x14ac:dyDescent="0.25">
      <c r="C4027" t="s">
        <v>108</v>
      </c>
      <c r="D4027" t="s">
        <v>108</v>
      </c>
      <c r="E4027" t="s">
        <v>108</v>
      </c>
      <c r="F4027" t="s">
        <v>108</v>
      </c>
      <c r="G4027" t="s">
        <v>108</v>
      </c>
    </row>
    <row r="4028" spans="1:10" x14ac:dyDescent="0.25">
      <c r="H4028" t="s">
        <v>22</v>
      </c>
      <c r="I4028" t="s">
        <v>22</v>
      </c>
      <c r="J4028" t="s">
        <v>22</v>
      </c>
    </row>
    <row r="4029" spans="1:10" x14ac:dyDescent="0.25">
      <c r="A4029" t="s">
        <v>109</v>
      </c>
    </row>
    <row r="4030" spans="1:10" x14ac:dyDescent="0.25">
      <c r="B4030" t="s">
        <v>489</v>
      </c>
      <c r="C4030" s="2">
        <v>23262</v>
      </c>
      <c r="D4030" s="2">
        <v>10288</v>
      </c>
      <c r="E4030" s="2">
        <v>10130</v>
      </c>
      <c r="F4030" s="2">
        <v>17200</v>
      </c>
      <c r="G4030" s="2">
        <v>2776</v>
      </c>
      <c r="H4030">
        <v>0</v>
      </c>
    </row>
    <row r="4032" spans="1:10" x14ac:dyDescent="0.25">
      <c r="A4032" t="s">
        <v>501</v>
      </c>
    </row>
    <row r="4033" spans="1:10" x14ac:dyDescent="0.25">
      <c r="A4033" t="s">
        <v>18</v>
      </c>
    </row>
    <row r="4034" spans="1:10" x14ac:dyDescent="0.25">
      <c r="A4034" t="s">
        <v>2489</v>
      </c>
      <c r="B4034" t="s">
        <v>2261</v>
      </c>
      <c r="C4034">
        <v>599</v>
      </c>
      <c r="D4034">
        <v>0</v>
      </c>
      <c r="E4034" s="2">
        <v>3059</v>
      </c>
      <c r="F4034" s="2">
        <v>2000</v>
      </c>
      <c r="G4034">
        <v>469</v>
      </c>
      <c r="H4034">
        <v>0</v>
      </c>
      <c r="I4034" t="s">
        <v>22</v>
      </c>
      <c r="J4034" t="s">
        <v>22</v>
      </c>
    </row>
    <row r="4035" spans="1:10" x14ac:dyDescent="0.25">
      <c r="A4035" t="s">
        <v>2490</v>
      </c>
      <c r="B4035" t="s">
        <v>509</v>
      </c>
      <c r="C4035" s="2">
        <v>2640</v>
      </c>
      <c r="D4035" s="2">
        <v>1973</v>
      </c>
      <c r="E4035" s="2">
        <v>3186</v>
      </c>
      <c r="F4035" s="2">
        <v>5000</v>
      </c>
      <c r="G4035">
        <v>0</v>
      </c>
      <c r="H4035">
        <v>0</v>
      </c>
      <c r="I4035" t="s">
        <v>22</v>
      </c>
      <c r="J4035" t="s">
        <v>22</v>
      </c>
    </row>
    <row r="4036" spans="1:10" x14ac:dyDescent="0.25">
      <c r="A4036" t="s">
        <v>2491</v>
      </c>
      <c r="B4036" t="s">
        <v>1880</v>
      </c>
      <c r="C4036">
        <v>0</v>
      </c>
      <c r="D4036">
        <v>0</v>
      </c>
      <c r="E4036">
        <v>0</v>
      </c>
      <c r="F4036">
        <v>0</v>
      </c>
      <c r="G4036">
        <v>0</v>
      </c>
      <c r="H4036">
        <v>0</v>
      </c>
      <c r="I4036" t="s">
        <v>22</v>
      </c>
      <c r="J4036" t="s">
        <v>22</v>
      </c>
    </row>
    <row r="4037" spans="1:10" x14ac:dyDescent="0.25">
      <c r="A4037" t="s">
        <v>2492</v>
      </c>
      <c r="B4037" t="s">
        <v>519</v>
      </c>
      <c r="C4037">
        <v>0</v>
      </c>
      <c r="D4037">
        <v>0</v>
      </c>
      <c r="E4037">
        <v>276</v>
      </c>
      <c r="F4037">
        <v>0</v>
      </c>
      <c r="G4037">
        <v>300</v>
      </c>
      <c r="H4037">
        <v>0</v>
      </c>
      <c r="I4037" t="s">
        <v>22</v>
      </c>
      <c r="J4037" t="s">
        <v>22</v>
      </c>
    </row>
    <row r="4038" spans="1:10" x14ac:dyDescent="0.25">
      <c r="C4038" t="s">
        <v>108</v>
      </c>
      <c r="D4038" t="s">
        <v>108</v>
      </c>
      <c r="E4038" t="s">
        <v>108</v>
      </c>
      <c r="F4038" t="s">
        <v>108</v>
      </c>
      <c r="G4038" t="s">
        <v>108</v>
      </c>
    </row>
    <row r="4039" spans="1:10" x14ac:dyDescent="0.25">
      <c r="H4039" t="s">
        <v>22</v>
      </c>
      <c r="I4039" t="s">
        <v>22</v>
      </c>
      <c r="J4039" t="s">
        <v>22</v>
      </c>
    </row>
    <row r="4040" spans="1:10" x14ac:dyDescent="0.25">
      <c r="A4040" t="s">
        <v>109</v>
      </c>
    </row>
    <row r="4041" spans="1:10" x14ac:dyDescent="0.25">
      <c r="B4041" t="s">
        <v>501</v>
      </c>
      <c r="C4041" s="2">
        <v>3239</v>
      </c>
      <c r="D4041" s="2">
        <v>1973</v>
      </c>
      <c r="E4041" s="2">
        <v>6520</v>
      </c>
      <c r="F4041" s="2">
        <v>7000</v>
      </c>
      <c r="G4041">
        <v>769</v>
      </c>
      <c r="H4041">
        <v>0</v>
      </c>
    </row>
    <row r="4043" spans="1:10" x14ac:dyDescent="0.25">
      <c r="A4043" t="s">
        <v>524</v>
      </c>
      <c r="B4043" t="s">
        <v>525</v>
      </c>
    </row>
    <row r="4044" spans="1:10" x14ac:dyDescent="0.25">
      <c r="A4044" t="s">
        <v>18</v>
      </c>
      <c r="B4044" t="s">
        <v>526</v>
      </c>
    </row>
    <row r="4045" spans="1:10" x14ac:dyDescent="0.25">
      <c r="A4045" t="s">
        <v>2493</v>
      </c>
      <c r="B4045" t="s">
        <v>1282</v>
      </c>
      <c r="C4045">
        <v>0</v>
      </c>
      <c r="D4045">
        <v>0</v>
      </c>
      <c r="E4045">
        <v>0</v>
      </c>
      <c r="F4045" s="2">
        <v>51000</v>
      </c>
      <c r="G4045" s="2">
        <v>49106</v>
      </c>
      <c r="H4045">
        <v>0</v>
      </c>
      <c r="I4045" t="s">
        <v>22</v>
      </c>
      <c r="J4045" t="s">
        <v>22</v>
      </c>
    </row>
    <row r="4046" spans="1:10" x14ac:dyDescent="0.25">
      <c r="A4046" t="s">
        <v>2494</v>
      </c>
      <c r="B4046" t="s">
        <v>2495</v>
      </c>
      <c r="C4046">
        <v>0</v>
      </c>
      <c r="D4046">
        <v>0</v>
      </c>
      <c r="E4046">
        <v>0</v>
      </c>
      <c r="F4046">
        <v>0</v>
      </c>
      <c r="G4046">
        <v>0</v>
      </c>
      <c r="H4046">
        <v>0</v>
      </c>
      <c r="I4046" t="s">
        <v>22</v>
      </c>
      <c r="J4046" t="s">
        <v>22</v>
      </c>
    </row>
    <row r="4047" spans="1:10" x14ac:dyDescent="0.25">
      <c r="A4047" t="s">
        <v>2496</v>
      </c>
      <c r="B4047" t="s">
        <v>534</v>
      </c>
      <c r="C4047">
        <v>0</v>
      </c>
      <c r="D4047">
        <v>0</v>
      </c>
      <c r="E4047">
        <v>0</v>
      </c>
      <c r="F4047">
        <v>0</v>
      </c>
      <c r="G4047">
        <v>0</v>
      </c>
      <c r="H4047">
        <v>0</v>
      </c>
      <c r="I4047" t="s">
        <v>22</v>
      </c>
      <c r="J4047" t="s">
        <v>22</v>
      </c>
    </row>
    <row r="4048" spans="1:10" x14ac:dyDescent="0.25">
      <c r="A4048" t="s">
        <v>2497</v>
      </c>
      <c r="B4048" t="s">
        <v>2498</v>
      </c>
      <c r="C4048">
        <v>0</v>
      </c>
      <c r="D4048">
        <v>0</v>
      </c>
      <c r="E4048" s="2">
        <v>269861</v>
      </c>
      <c r="F4048">
        <v>0</v>
      </c>
      <c r="G4048" s="2">
        <v>278684</v>
      </c>
      <c r="H4048">
        <v>0</v>
      </c>
      <c r="I4048" t="s">
        <v>22</v>
      </c>
      <c r="J4048" t="s">
        <v>22</v>
      </c>
    </row>
    <row r="4049" spans="1:10" x14ac:dyDescent="0.25">
      <c r="C4049" t="s">
        <v>108</v>
      </c>
      <c r="D4049" t="s">
        <v>108</v>
      </c>
      <c r="E4049" t="s">
        <v>108</v>
      </c>
      <c r="F4049" t="s">
        <v>108</v>
      </c>
      <c r="G4049" t="s">
        <v>108</v>
      </c>
    </row>
    <row r="4050" spans="1:10" x14ac:dyDescent="0.25">
      <c r="H4050" t="s">
        <v>22</v>
      </c>
      <c r="I4050" t="s">
        <v>22</v>
      </c>
      <c r="J4050" t="s">
        <v>22</v>
      </c>
    </row>
    <row r="4051" spans="1:10" x14ac:dyDescent="0.25">
      <c r="A4051" t="s">
        <v>109</v>
      </c>
    </row>
    <row r="4052" spans="1:10" x14ac:dyDescent="0.25">
      <c r="B4052" t="s">
        <v>530</v>
      </c>
      <c r="C4052">
        <v>0</v>
      </c>
      <c r="D4052">
        <v>0</v>
      </c>
      <c r="E4052" s="2">
        <v>269861</v>
      </c>
      <c r="F4052" s="2">
        <v>51000</v>
      </c>
      <c r="G4052" s="2">
        <v>327790</v>
      </c>
      <c r="H4052">
        <v>0</v>
      </c>
    </row>
    <row r="4053" spans="1:10" x14ac:dyDescent="0.25">
      <c r="A4053" t="s">
        <v>18</v>
      </c>
      <c r="B4053" t="s">
        <v>19</v>
      </c>
      <c r="C4053" t="s">
        <v>20</v>
      </c>
      <c r="D4053" t="s">
        <v>21</v>
      </c>
      <c r="E4053" t="s">
        <v>26</v>
      </c>
    </row>
    <row r="4054" spans="1:10" x14ac:dyDescent="0.25">
      <c r="E4054" t="s">
        <v>339</v>
      </c>
      <c r="F4054" t="s">
        <v>23</v>
      </c>
      <c r="G4054" t="s">
        <v>24</v>
      </c>
      <c r="H4054" t="s">
        <v>20</v>
      </c>
      <c r="I4054" t="s">
        <v>24</v>
      </c>
      <c r="J4054" t="s">
        <v>20</v>
      </c>
    </row>
    <row r="4055" spans="1:10" x14ac:dyDescent="0.25">
      <c r="A4055" t="s">
        <v>109</v>
      </c>
    </row>
    <row r="4056" spans="1:10" x14ac:dyDescent="0.25">
      <c r="A4056">
        <v>77</v>
      </c>
      <c r="B4056" t="e">
        <f>-EFFLUENT DISPOSAL</f>
        <v>#NAME?</v>
      </c>
      <c r="C4056" s="2">
        <v>279846</v>
      </c>
      <c r="D4056" s="2">
        <v>253945</v>
      </c>
      <c r="E4056" s="2">
        <v>522871</v>
      </c>
      <c r="F4056" s="2">
        <v>451995</v>
      </c>
      <c r="G4056" s="2">
        <v>471601</v>
      </c>
      <c r="H4056">
        <v>0</v>
      </c>
    </row>
    <row r="4058" spans="1:10" x14ac:dyDescent="0.25">
      <c r="A4058" t="s">
        <v>2499</v>
      </c>
      <c r="B4058" t="s">
        <v>2500</v>
      </c>
    </row>
    <row r="4059" spans="1:10" x14ac:dyDescent="0.25">
      <c r="A4059" t="s">
        <v>389</v>
      </c>
      <c r="B4059" t="s">
        <v>2078</v>
      </c>
    </row>
    <row r="4061" spans="1:10" x14ac:dyDescent="0.25">
      <c r="A4061" t="s">
        <v>2501</v>
      </c>
      <c r="B4061" t="s">
        <v>1592</v>
      </c>
    </row>
    <row r="4062" spans="1:10" x14ac:dyDescent="0.25">
      <c r="A4062" t="s">
        <v>18</v>
      </c>
      <c r="B4062" t="s">
        <v>1593</v>
      </c>
    </row>
    <row r="4063" spans="1:10" x14ac:dyDescent="0.25">
      <c r="A4063" t="s">
        <v>2502</v>
      </c>
      <c r="B4063" t="s">
        <v>2503</v>
      </c>
      <c r="C4063">
        <v>0</v>
      </c>
      <c r="D4063">
        <v>0</v>
      </c>
      <c r="E4063">
        <v>0</v>
      </c>
      <c r="F4063">
        <v>0</v>
      </c>
      <c r="G4063">
        <v>0</v>
      </c>
      <c r="H4063">
        <v>0</v>
      </c>
      <c r="I4063" t="s">
        <v>22</v>
      </c>
      <c r="J4063" t="s">
        <v>22</v>
      </c>
    </row>
    <row r="4064" spans="1:10" x14ac:dyDescent="0.25">
      <c r="C4064" t="s">
        <v>108</v>
      </c>
      <c r="D4064" t="s">
        <v>108</v>
      </c>
      <c r="E4064" t="s">
        <v>108</v>
      </c>
      <c r="F4064" t="s">
        <v>108</v>
      </c>
      <c r="G4064" t="s">
        <v>108</v>
      </c>
    </row>
    <row r="4065" spans="1:10" x14ac:dyDescent="0.25">
      <c r="H4065" t="s">
        <v>22</v>
      </c>
      <c r="I4065" t="s">
        <v>22</v>
      </c>
      <c r="J4065" t="s">
        <v>22</v>
      </c>
    </row>
    <row r="4066" spans="1:10" x14ac:dyDescent="0.25">
      <c r="A4066" t="s">
        <v>109</v>
      </c>
    </row>
    <row r="4067" spans="1:10" x14ac:dyDescent="0.25">
      <c r="B4067" t="s">
        <v>2504</v>
      </c>
      <c r="C4067">
        <v>0</v>
      </c>
      <c r="D4067">
        <v>0</v>
      </c>
      <c r="E4067">
        <v>0</v>
      </c>
      <c r="F4067">
        <v>0</v>
      </c>
      <c r="G4067">
        <v>0</v>
      </c>
      <c r="H4067">
        <v>0</v>
      </c>
    </row>
    <row r="4069" spans="1:10" x14ac:dyDescent="0.25">
      <c r="A4069" t="s">
        <v>524</v>
      </c>
      <c r="B4069" t="s">
        <v>525</v>
      </c>
    </row>
    <row r="4070" spans="1:10" x14ac:dyDescent="0.25">
      <c r="A4070" t="s">
        <v>18</v>
      </c>
      <c r="B4070" t="s">
        <v>526</v>
      </c>
    </row>
    <row r="4071" spans="1:10" x14ac:dyDescent="0.25">
      <c r="A4071" t="s">
        <v>2505</v>
      </c>
      <c r="B4071" t="s">
        <v>2506</v>
      </c>
      <c r="C4071">
        <v>0</v>
      </c>
      <c r="D4071">
        <v>0</v>
      </c>
      <c r="E4071">
        <v>0</v>
      </c>
      <c r="F4071">
        <v>0</v>
      </c>
      <c r="G4071">
        <v>0</v>
      </c>
      <c r="H4071">
        <v>0</v>
      </c>
      <c r="I4071" t="s">
        <v>22</v>
      </c>
      <c r="J4071" t="s">
        <v>22</v>
      </c>
    </row>
    <row r="4072" spans="1:10" x14ac:dyDescent="0.25">
      <c r="A4072" t="s">
        <v>2507</v>
      </c>
      <c r="B4072" t="s">
        <v>2503</v>
      </c>
      <c r="C4072">
        <v>0</v>
      </c>
      <c r="D4072">
        <v>0</v>
      </c>
      <c r="E4072">
        <v>0</v>
      </c>
      <c r="F4072">
        <v>0</v>
      </c>
      <c r="G4072">
        <v>0</v>
      </c>
      <c r="H4072">
        <v>0</v>
      </c>
      <c r="I4072" t="s">
        <v>22</v>
      </c>
      <c r="J4072" t="s">
        <v>22</v>
      </c>
    </row>
    <row r="4073" spans="1:10" x14ac:dyDescent="0.25">
      <c r="C4073" t="s">
        <v>108</v>
      </c>
      <c r="D4073" t="s">
        <v>108</v>
      </c>
      <c r="E4073" t="s">
        <v>108</v>
      </c>
      <c r="F4073" t="s">
        <v>108</v>
      </c>
      <c r="G4073" t="s">
        <v>108</v>
      </c>
    </row>
    <row r="4074" spans="1:10" x14ac:dyDescent="0.25">
      <c r="H4074" t="s">
        <v>22</v>
      </c>
      <c r="I4074" t="s">
        <v>22</v>
      </c>
      <c r="J4074" t="s">
        <v>22</v>
      </c>
    </row>
    <row r="4075" spans="1:10" x14ac:dyDescent="0.25">
      <c r="A4075" t="s">
        <v>109</v>
      </c>
    </row>
    <row r="4076" spans="1:10" x14ac:dyDescent="0.25">
      <c r="B4076" t="s">
        <v>530</v>
      </c>
      <c r="C4076">
        <v>0</v>
      </c>
      <c r="D4076">
        <v>0</v>
      </c>
      <c r="E4076">
        <v>0</v>
      </c>
      <c r="F4076">
        <v>0</v>
      </c>
      <c r="G4076">
        <v>0</v>
      </c>
      <c r="H4076">
        <v>0</v>
      </c>
    </row>
    <row r="4077" spans="1:10" x14ac:dyDescent="0.25">
      <c r="A4077" t="s">
        <v>18</v>
      </c>
      <c r="B4077" t="s">
        <v>19</v>
      </c>
      <c r="C4077" t="s">
        <v>20</v>
      </c>
      <c r="D4077" t="s">
        <v>21</v>
      </c>
      <c r="E4077" t="s">
        <v>26</v>
      </c>
    </row>
    <row r="4078" spans="1:10" x14ac:dyDescent="0.25">
      <c r="E4078" t="s">
        <v>339</v>
      </c>
      <c r="F4078" t="s">
        <v>23</v>
      </c>
      <c r="G4078" t="s">
        <v>24</v>
      </c>
      <c r="H4078" t="s">
        <v>20</v>
      </c>
      <c r="I4078" t="s">
        <v>24</v>
      </c>
      <c r="J4078" t="s">
        <v>20</v>
      </c>
    </row>
    <row r="4079" spans="1:10" x14ac:dyDescent="0.25">
      <c r="A4079" t="s">
        <v>109</v>
      </c>
    </row>
    <row r="4080" spans="1:10" x14ac:dyDescent="0.25">
      <c r="A4080">
        <v>79</v>
      </c>
      <c r="B4080" t="e">
        <f>-UTILITY FUND TRANSFER</f>
        <v>#NAME?</v>
      </c>
      <c r="C4080">
        <v>0</v>
      </c>
      <c r="D4080">
        <v>0</v>
      </c>
      <c r="E4080">
        <v>0</v>
      </c>
      <c r="F4080">
        <v>0</v>
      </c>
      <c r="G4080">
        <v>0</v>
      </c>
      <c r="H4080">
        <v>0</v>
      </c>
    </row>
    <row r="4081" spans="1:10" x14ac:dyDescent="0.25">
      <c r="A4081" t="s">
        <v>110</v>
      </c>
    </row>
    <row r="4082" spans="1:10" x14ac:dyDescent="0.25">
      <c r="A4082" s="1">
        <v>43991</v>
      </c>
      <c r="B4082" t="s">
        <v>1615</v>
      </c>
      <c r="D4082" t="s">
        <v>112</v>
      </c>
      <c r="E4082" t="s">
        <v>113</v>
      </c>
      <c r="F4082" t="s">
        <v>114</v>
      </c>
      <c r="J4082" t="s">
        <v>981</v>
      </c>
    </row>
    <row r="4083" spans="1:10" x14ac:dyDescent="0.25">
      <c r="D4083" t="s">
        <v>116</v>
      </c>
      <c r="E4083" t="s">
        <v>117</v>
      </c>
      <c r="F4083" t="s">
        <v>118</v>
      </c>
    </row>
    <row r="4084" spans="1:10" x14ac:dyDescent="0.25">
      <c r="D4084" t="s">
        <v>119</v>
      </c>
      <c r="E4084" t="s">
        <v>120</v>
      </c>
      <c r="F4084" t="s">
        <v>121</v>
      </c>
    </row>
    <row r="4085" spans="1:10" x14ac:dyDescent="0.25">
      <c r="A4085" t="s">
        <v>1906</v>
      </c>
      <c r="B4085" t="s">
        <v>1907</v>
      </c>
    </row>
    <row r="4086" spans="1:10" x14ac:dyDescent="0.25">
      <c r="A4086" t="s">
        <v>386</v>
      </c>
    </row>
    <row r="4087" spans="1:10" x14ac:dyDescent="0.25">
      <c r="F4087" t="s">
        <v>2</v>
      </c>
      <c r="G4087" t="s">
        <v>3</v>
      </c>
      <c r="H4087" t="s">
        <v>4</v>
      </c>
      <c r="I4087" t="s">
        <v>5</v>
      </c>
      <c r="J4087" t="s">
        <v>6</v>
      </c>
    </row>
    <row r="4088" spans="1:10" x14ac:dyDescent="0.25">
      <c r="C4088" t="s">
        <v>7</v>
      </c>
      <c r="D4088" t="s">
        <v>8</v>
      </c>
      <c r="E4088" t="s">
        <v>9</v>
      </c>
      <c r="F4088" t="s">
        <v>10</v>
      </c>
      <c r="G4088" t="s">
        <v>124</v>
      </c>
      <c r="H4088" t="s">
        <v>12</v>
      </c>
      <c r="I4088" t="s">
        <v>13</v>
      </c>
      <c r="J4088" t="s">
        <v>14</v>
      </c>
    </row>
    <row r="4089" spans="1:10" x14ac:dyDescent="0.25">
      <c r="C4089" t="s">
        <v>15</v>
      </c>
      <c r="D4089" t="s">
        <v>15</v>
      </c>
      <c r="E4089" t="s">
        <v>15</v>
      </c>
      <c r="F4089" t="s">
        <v>16</v>
      </c>
      <c r="G4089" t="s">
        <v>15</v>
      </c>
      <c r="H4089" t="s">
        <v>17</v>
      </c>
      <c r="I4089" t="s">
        <v>16</v>
      </c>
      <c r="J4089" t="s">
        <v>16</v>
      </c>
    </row>
    <row r="4090" spans="1:10" x14ac:dyDescent="0.25">
      <c r="A4090" t="s">
        <v>18</v>
      </c>
      <c r="B4090" t="s">
        <v>19</v>
      </c>
      <c r="C4090" t="s">
        <v>20</v>
      </c>
      <c r="D4090" t="s">
        <v>21</v>
      </c>
      <c r="E4090" t="s">
        <v>22</v>
      </c>
      <c r="F4090" t="s">
        <v>23</v>
      </c>
      <c r="G4090" t="s">
        <v>24</v>
      </c>
      <c r="H4090" t="s">
        <v>20</v>
      </c>
      <c r="I4090" t="s">
        <v>24</v>
      </c>
      <c r="J4090" t="s">
        <v>20</v>
      </c>
    </row>
    <row r="4092" spans="1:10" x14ac:dyDescent="0.25">
      <c r="A4092" t="s">
        <v>2508</v>
      </c>
      <c r="B4092" t="s">
        <v>2509</v>
      </c>
    </row>
    <row r="4093" spans="1:10" x14ac:dyDescent="0.25">
      <c r="A4093" t="s">
        <v>389</v>
      </c>
      <c r="B4093" t="s">
        <v>2078</v>
      </c>
    </row>
    <row r="4095" spans="1:10" x14ac:dyDescent="0.25">
      <c r="A4095" t="s">
        <v>391</v>
      </c>
      <c r="B4095" t="s">
        <v>392</v>
      </c>
    </row>
    <row r="4096" spans="1:10" x14ac:dyDescent="0.25">
      <c r="A4096" t="s">
        <v>18</v>
      </c>
      <c r="B4096" t="s">
        <v>228</v>
      </c>
    </row>
    <row r="4097" spans="1:10" x14ac:dyDescent="0.25">
      <c r="A4097" t="s">
        <v>2510</v>
      </c>
      <c r="B4097" t="s">
        <v>569</v>
      </c>
      <c r="C4097">
        <v>-37</v>
      </c>
      <c r="D4097">
        <v>603</v>
      </c>
      <c r="E4097">
        <v>0</v>
      </c>
      <c r="F4097">
        <v>0</v>
      </c>
      <c r="G4097">
        <v>0</v>
      </c>
      <c r="H4097">
        <v>0</v>
      </c>
      <c r="I4097" t="s">
        <v>22</v>
      </c>
      <c r="J4097" t="s">
        <v>22</v>
      </c>
    </row>
    <row r="4098" spans="1:10" x14ac:dyDescent="0.25">
      <c r="A4098" t="s">
        <v>2511</v>
      </c>
      <c r="B4098" t="s">
        <v>396</v>
      </c>
      <c r="C4098">
        <v>9</v>
      </c>
      <c r="D4098">
        <v>9</v>
      </c>
      <c r="E4098">
        <v>117</v>
      </c>
      <c r="F4098">
        <v>252</v>
      </c>
      <c r="G4098">
        <v>0</v>
      </c>
      <c r="H4098">
        <v>0</v>
      </c>
      <c r="I4098" t="s">
        <v>22</v>
      </c>
      <c r="J4098" t="s">
        <v>22</v>
      </c>
    </row>
    <row r="4099" spans="1:10" x14ac:dyDescent="0.25">
      <c r="A4099" t="s">
        <v>2512</v>
      </c>
      <c r="B4099" t="s">
        <v>398</v>
      </c>
      <c r="C4099" s="2">
        <v>1615</v>
      </c>
      <c r="D4099" s="2">
        <v>1364</v>
      </c>
      <c r="E4099" s="2">
        <v>1665</v>
      </c>
      <c r="F4099" s="2">
        <v>3255</v>
      </c>
      <c r="G4099" s="2">
        <v>1534</v>
      </c>
      <c r="H4099">
        <v>0</v>
      </c>
      <c r="I4099" t="s">
        <v>22</v>
      </c>
      <c r="J4099" t="s">
        <v>22</v>
      </c>
    </row>
    <row r="4100" spans="1:10" x14ac:dyDescent="0.25">
      <c r="A4100" t="s">
        <v>2513</v>
      </c>
      <c r="B4100" t="s">
        <v>400</v>
      </c>
      <c r="C4100" s="2">
        <v>1723</v>
      </c>
      <c r="D4100" s="2">
        <v>1474</v>
      </c>
      <c r="E4100" s="2">
        <v>2024</v>
      </c>
      <c r="F4100" s="2">
        <v>4038</v>
      </c>
      <c r="G4100" s="2">
        <v>1555</v>
      </c>
      <c r="H4100">
        <v>0</v>
      </c>
      <c r="I4100" t="s">
        <v>22</v>
      </c>
      <c r="J4100" t="s">
        <v>22</v>
      </c>
    </row>
    <row r="4101" spans="1:10" x14ac:dyDescent="0.25">
      <c r="A4101" t="s">
        <v>2514</v>
      </c>
      <c r="B4101" t="s">
        <v>402</v>
      </c>
      <c r="C4101" s="2">
        <v>5243</v>
      </c>
      <c r="D4101" s="2">
        <v>5444</v>
      </c>
      <c r="E4101" s="2">
        <v>8736</v>
      </c>
      <c r="F4101" s="2">
        <v>10662</v>
      </c>
      <c r="G4101" s="2">
        <v>5738</v>
      </c>
      <c r="H4101">
        <v>0</v>
      </c>
      <c r="I4101" t="s">
        <v>22</v>
      </c>
      <c r="J4101" t="s">
        <v>22</v>
      </c>
    </row>
    <row r="4102" spans="1:10" x14ac:dyDescent="0.25">
      <c r="A4102" t="s">
        <v>2515</v>
      </c>
      <c r="B4102" t="s">
        <v>404</v>
      </c>
      <c r="C4102">
        <v>357</v>
      </c>
      <c r="D4102">
        <v>331</v>
      </c>
      <c r="E4102">
        <v>330</v>
      </c>
      <c r="F4102">
        <v>654</v>
      </c>
      <c r="G4102">
        <v>202</v>
      </c>
      <c r="H4102">
        <v>0</v>
      </c>
      <c r="I4102" t="s">
        <v>22</v>
      </c>
      <c r="J4102" t="s">
        <v>22</v>
      </c>
    </row>
    <row r="4103" spans="1:10" x14ac:dyDescent="0.25">
      <c r="A4103" t="s">
        <v>2516</v>
      </c>
      <c r="B4103" t="s">
        <v>406</v>
      </c>
      <c r="C4103">
        <v>221</v>
      </c>
      <c r="D4103">
        <v>349</v>
      </c>
      <c r="E4103">
        <v>614</v>
      </c>
      <c r="F4103">
        <v>676</v>
      </c>
      <c r="G4103" s="2">
        <v>1338</v>
      </c>
      <c r="H4103">
        <v>0</v>
      </c>
      <c r="I4103" t="s">
        <v>22</v>
      </c>
      <c r="J4103" t="s">
        <v>22</v>
      </c>
    </row>
    <row r="4104" spans="1:10" x14ac:dyDescent="0.25">
      <c r="A4104" t="s">
        <v>2517</v>
      </c>
      <c r="B4104" t="s">
        <v>690</v>
      </c>
      <c r="C4104">
        <v>69</v>
      </c>
      <c r="D4104">
        <v>52</v>
      </c>
      <c r="E4104">
        <v>121</v>
      </c>
      <c r="F4104">
        <v>207</v>
      </c>
      <c r="G4104">
        <v>138</v>
      </c>
      <c r="H4104">
        <v>0</v>
      </c>
      <c r="I4104" t="s">
        <v>22</v>
      </c>
      <c r="J4104" t="s">
        <v>22</v>
      </c>
    </row>
    <row r="4105" spans="1:10" x14ac:dyDescent="0.25">
      <c r="A4105" t="s">
        <v>2518</v>
      </c>
      <c r="B4105" t="s">
        <v>426</v>
      </c>
      <c r="C4105">
        <v>202</v>
      </c>
      <c r="D4105">
        <v>202</v>
      </c>
      <c r="E4105">
        <v>202</v>
      </c>
      <c r="F4105">
        <v>405</v>
      </c>
      <c r="G4105">
        <v>208</v>
      </c>
      <c r="H4105">
        <v>0</v>
      </c>
      <c r="I4105" t="s">
        <v>22</v>
      </c>
      <c r="J4105" t="s">
        <v>22</v>
      </c>
    </row>
    <row r="4106" spans="1:10" x14ac:dyDescent="0.25">
      <c r="A4106" t="s">
        <v>2519</v>
      </c>
      <c r="B4106" t="s">
        <v>1204</v>
      </c>
      <c r="C4106">
        <v>90</v>
      </c>
      <c r="D4106">
        <v>180</v>
      </c>
      <c r="E4106">
        <v>90</v>
      </c>
      <c r="F4106">
        <v>180</v>
      </c>
      <c r="G4106">
        <v>180</v>
      </c>
      <c r="H4106">
        <v>0</v>
      </c>
      <c r="I4106" t="s">
        <v>22</v>
      </c>
      <c r="J4106" t="s">
        <v>22</v>
      </c>
    </row>
    <row r="4107" spans="1:10" x14ac:dyDescent="0.25">
      <c r="A4107" t="s">
        <v>2520</v>
      </c>
      <c r="B4107" t="s">
        <v>428</v>
      </c>
      <c r="C4107">
        <v>415</v>
      </c>
      <c r="D4107">
        <v>369</v>
      </c>
      <c r="E4107">
        <v>0</v>
      </c>
      <c r="F4107">
        <v>450</v>
      </c>
      <c r="G4107">
        <v>92</v>
      </c>
      <c r="H4107">
        <v>0</v>
      </c>
      <c r="I4107" t="s">
        <v>22</v>
      </c>
      <c r="J4107" t="s">
        <v>22</v>
      </c>
    </row>
    <row r="4108" spans="1:10" x14ac:dyDescent="0.25">
      <c r="A4108" t="s">
        <v>2521</v>
      </c>
      <c r="B4108" t="s">
        <v>430</v>
      </c>
      <c r="C4108">
        <v>17</v>
      </c>
      <c r="D4108">
        <v>17</v>
      </c>
      <c r="E4108">
        <v>17</v>
      </c>
      <c r="F4108">
        <v>69</v>
      </c>
      <c r="G4108">
        <v>17</v>
      </c>
      <c r="H4108">
        <v>0</v>
      </c>
      <c r="I4108" t="s">
        <v>22</v>
      </c>
      <c r="J4108" t="s">
        <v>22</v>
      </c>
    </row>
    <row r="4109" spans="1:10" x14ac:dyDescent="0.25">
      <c r="A4109" t="s">
        <v>2522</v>
      </c>
      <c r="B4109" t="s">
        <v>432</v>
      </c>
      <c r="C4109" s="2">
        <v>1160</v>
      </c>
      <c r="D4109" s="2">
        <v>1573</v>
      </c>
      <c r="E4109" s="2">
        <v>2351</v>
      </c>
      <c r="F4109" s="2">
        <v>4000</v>
      </c>
      <c r="G4109" s="2">
        <v>2578</v>
      </c>
      <c r="H4109">
        <v>0</v>
      </c>
      <c r="I4109" t="s">
        <v>22</v>
      </c>
      <c r="J4109" t="s">
        <v>22</v>
      </c>
    </row>
    <row r="4110" spans="1:10" x14ac:dyDescent="0.25">
      <c r="A4110" t="s">
        <v>2523</v>
      </c>
      <c r="B4110" t="s">
        <v>434</v>
      </c>
      <c r="C4110">
        <v>0</v>
      </c>
      <c r="D4110">
        <v>0</v>
      </c>
      <c r="E4110">
        <v>0</v>
      </c>
      <c r="F4110">
        <v>0</v>
      </c>
      <c r="G4110">
        <v>0</v>
      </c>
      <c r="H4110">
        <v>0</v>
      </c>
      <c r="I4110" t="s">
        <v>22</v>
      </c>
      <c r="J4110" t="s">
        <v>22</v>
      </c>
    </row>
    <row r="4111" spans="1:10" x14ac:dyDescent="0.25">
      <c r="A4111" t="s">
        <v>2524</v>
      </c>
      <c r="B4111" t="s">
        <v>436</v>
      </c>
      <c r="C4111">
        <v>0</v>
      </c>
      <c r="D4111">
        <v>0</v>
      </c>
      <c r="E4111">
        <v>0</v>
      </c>
      <c r="F4111">
        <v>0</v>
      </c>
      <c r="G4111">
        <v>0</v>
      </c>
      <c r="H4111">
        <v>0</v>
      </c>
      <c r="I4111" t="s">
        <v>22</v>
      </c>
      <c r="J4111" t="s">
        <v>22</v>
      </c>
    </row>
    <row r="4112" spans="1:10" x14ac:dyDescent="0.25">
      <c r="A4112" t="s">
        <v>2525</v>
      </c>
      <c r="B4112" t="s">
        <v>607</v>
      </c>
      <c r="C4112">
        <v>0</v>
      </c>
      <c r="D4112">
        <v>0</v>
      </c>
      <c r="E4112">
        <v>0</v>
      </c>
      <c r="F4112">
        <v>0</v>
      </c>
      <c r="G4112">
        <v>0</v>
      </c>
      <c r="H4112">
        <v>0</v>
      </c>
      <c r="I4112" t="s">
        <v>22</v>
      </c>
      <c r="J4112" t="s">
        <v>22</v>
      </c>
    </row>
    <row r="4113" spans="1:10" x14ac:dyDescent="0.25">
      <c r="A4113" t="s">
        <v>2526</v>
      </c>
      <c r="B4113" t="s">
        <v>2527</v>
      </c>
      <c r="C4113" s="2">
        <v>18908</v>
      </c>
      <c r="D4113" s="2">
        <v>15357</v>
      </c>
      <c r="E4113" s="2">
        <v>19741</v>
      </c>
      <c r="F4113" s="2">
        <v>41496</v>
      </c>
      <c r="G4113" s="2">
        <v>17495</v>
      </c>
      <c r="H4113">
        <v>0</v>
      </c>
      <c r="I4113" t="s">
        <v>22</v>
      </c>
      <c r="J4113" t="s">
        <v>22</v>
      </c>
    </row>
    <row r="4114" spans="1:10" x14ac:dyDescent="0.25">
      <c r="A4114" t="s">
        <v>2528</v>
      </c>
      <c r="B4114" t="s">
        <v>1221</v>
      </c>
      <c r="C4114">
        <v>225</v>
      </c>
      <c r="D4114">
        <v>113</v>
      </c>
      <c r="E4114">
        <v>338</v>
      </c>
      <c r="F4114">
        <v>0</v>
      </c>
      <c r="G4114">
        <v>263</v>
      </c>
      <c r="H4114">
        <v>0</v>
      </c>
      <c r="I4114" t="s">
        <v>22</v>
      </c>
      <c r="J4114" t="s">
        <v>22</v>
      </c>
    </row>
    <row r="4115" spans="1:10" x14ac:dyDescent="0.25">
      <c r="C4115" t="s">
        <v>108</v>
      </c>
      <c r="D4115" t="s">
        <v>108</v>
      </c>
      <c r="E4115" t="s">
        <v>108</v>
      </c>
      <c r="F4115" t="s">
        <v>108</v>
      </c>
      <c r="G4115" t="s">
        <v>108</v>
      </c>
    </row>
    <row r="4116" spans="1:10" x14ac:dyDescent="0.25">
      <c r="H4116" t="s">
        <v>22</v>
      </c>
      <c r="I4116" t="s">
        <v>22</v>
      </c>
      <c r="J4116" t="s">
        <v>22</v>
      </c>
    </row>
    <row r="4117" spans="1:10" x14ac:dyDescent="0.25">
      <c r="A4117" t="s">
        <v>109</v>
      </c>
    </row>
    <row r="4118" spans="1:10" x14ac:dyDescent="0.25">
      <c r="B4118" t="s">
        <v>441</v>
      </c>
      <c r="C4118" s="2">
        <v>30217</v>
      </c>
      <c r="D4118" s="2">
        <v>27437</v>
      </c>
      <c r="E4118" s="2">
        <v>36347</v>
      </c>
      <c r="F4118" s="2">
        <v>66344</v>
      </c>
      <c r="G4118" s="2">
        <v>31339</v>
      </c>
      <c r="H4118">
        <v>0</v>
      </c>
    </row>
    <row r="4120" spans="1:10" x14ac:dyDescent="0.25">
      <c r="A4120" t="s">
        <v>442</v>
      </c>
      <c r="B4120" t="s">
        <v>443</v>
      </c>
    </row>
    <row r="4121" spans="1:10" x14ac:dyDescent="0.25">
      <c r="A4121" t="s">
        <v>18</v>
      </c>
      <c r="B4121" t="s">
        <v>21</v>
      </c>
    </row>
    <row r="4122" spans="1:10" x14ac:dyDescent="0.25">
      <c r="A4122" t="s">
        <v>2529</v>
      </c>
      <c r="B4122" t="s">
        <v>445</v>
      </c>
      <c r="C4122" s="2">
        <v>6591</v>
      </c>
      <c r="D4122" s="2">
        <v>5152</v>
      </c>
      <c r="E4122">
        <v>923</v>
      </c>
      <c r="F4122" s="2">
        <v>1016</v>
      </c>
      <c r="G4122">
        <v>996</v>
      </c>
      <c r="H4122">
        <v>0</v>
      </c>
      <c r="I4122" t="s">
        <v>22</v>
      </c>
      <c r="J4122" t="s">
        <v>22</v>
      </c>
    </row>
    <row r="4123" spans="1:10" x14ac:dyDescent="0.25">
      <c r="A4123" t="s">
        <v>2530</v>
      </c>
      <c r="B4123" t="s">
        <v>447</v>
      </c>
      <c r="C4123">
        <v>66</v>
      </c>
      <c r="D4123">
        <v>393</v>
      </c>
      <c r="E4123">
        <v>55</v>
      </c>
      <c r="F4123">
        <v>500</v>
      </c>
      <c r="G4123">
        <v>0</v>
      </c>
      <c r="H4123">
        <v>0</v>
      </c>
      <c r="I4123" t="s">
        <v>22</v>
      </c>
      <c r="J4123" t="s">
        <v>22</v>
      </c>
    </row>
    <row r="4124" spans="1:10" x14ac:dyDescent="0.25">
      <c r="A4124" t="s">
        <v>2531</v>
      </c>
      <c r="B4124" t="s">
        <v>449</v>
      </c>
      <c r="C4124">
        <v>0</v>
      </c>
      <c r="D4124">
        <v>0</v>
      </c>
      <c r="E4124">
        <v>0</v>
      </c>
      <c r="F4124">
        <v>100</v>
      </c>
      <c r="G4124">
        <v>0</v>
      </c>
      <c r="H4124">
        <v>0</v>
      </c>
      <c r="I4124" t="s">
        <v>22</v>
      </c>
      <c r="J4124" t="s">
        <v>22</v>
      </c>
    </row>
    <row r="4125" spans="1:10" x14ac:dyDescent="0.25">
      <c r="A4125" t="s">
        <v>2532</v>
      </c>
      <c r="B4125" t="s">
        <v>451</v>
      </c>
      <c r="C4125">
        <v>520</v>
      </c>
      <c r="D4125">
        <v>0</v>
      </c>
      <c r="E4125">
        <v>50</v>
      </c>
      <c r="F4125">
        <v>500</v>
      </c>
      <c r="G4125">
        <v>0</v>
      </c>
      <c r="H4125">
        <v>0</v>
      </c>
      <c r="I4125" t="s">
        <v>22</v>
      </c>
      <c r="J4125" t="s">
        <v>22</v>
      </c>
    </row>
    <row r="4126" spans="1:10" x14ac:dyDescent="0.25">
      <c r="A4126" t="s">
        <v>2533</v>
      </c>
      <c r="B4126" t="s">
        <v>465</v>
      </c>
      <c r="C4126">
        <v>0</v>
      </c>
      <c r="D4126">
        <v>0</v>
      </c>
      <c r="E4126">
        <v>0</v>
      </c>
      <c r="F4126">
        <v>0</v>
      </c>
      <c r="G4126">
        <v>0</v>
      </c>
      <c r="H4126">
        <v>0</v>
      </c>
      <c r="I4126" t="s">
        <v>22</v>
      </c>
      <c r="J4126" t="s">
        <v>22</v>
      </c>
    </row>
    <row r="4127" spans="1:10" x14ac:dyDescent="0.25">
      <c r="A4127" t="s">
        <v>2534</v>
      </c>
      <c r="B4127" t="s">
        <v>471</v>
      </c>
      <c r="C4127">
        <v>0</v>
      </c>
      <c r="D4127">
        <v>108</v>
      </c>
      <c r="E4127">
        <v>362</v>
      </c>
      <c r="F4127">
        <v>0</v>
      </c>
      <c r="G4127">
        <v>315</v>
      </c>
      <c r="H4127">
        <v>0</v>
      </c>
      <c r="I4127" t="s">
        <v>22</v>
      </c>
      <c r="J4127" t="s">
        <v>22</v>
      </c>
    </row>
    <row r="4128" spans="1:10" x14ac:dyDescent="0.25">
      <c r="A4128" t="s">
        <v>2535</v>
      </c>
      <c r="B4128" t="s">
        <v>1047</v>
      </c>
      <c r="C4128" s="2">
        <v>34472</v>
      </c>
      <c r="D4128" s="2">
        <v>32970</v>
      </c>
      <c r="E4128" s="2">
        <v>31679</v>
      </c>
      <c r="F4128" s="2">
        <v>45000</v>
      </c>
      <c r="G4128" s="2">
        <v>22064</v>
      </c>
      <c r="H4128">
        <v>0</v>
      </c>
      <c r="I4128" t="s">
        <v>22</v>
      </c>
      <c r="J4128" t="s">
        <v>22</v>
      </c>
    </row>
    <row r="4129" spans="1:10" x14ac:dyDescent="0.25">
      <c r="A4129" t="s">
        <v>2536</v>
      </c>
      <c r="B4129" t="s">
        <v>473</v>
      </c>
      <c r="C4129" s="2">
        <v>20058</v>
      </c>
      <c r="D4129" s="2">
        <v>3802</v>
      </c>
      <c r="E4129" s="2">
        <v>14972</v>
      </c>
      <c r="F4129" s="2">
        <v>35000</v>
      </c>
      <c r="G4129" s="2">
        <v>9890</v>
      </c>
      <c r="H4129">
        <v>0</v>
      </c>
      <c r="I4129" t="s">
        <v>22</v>
      </c>
      <c r="J4129" t="s">
        <v>22</v>
      </c>
    </row>
    <row r="4130" spans="1:10" x14ac:dyDescent="0.25">
      <c r="A4130" t="s">
        <v>2537</v>
      </c>
      <c r="B4130" t="s">
        <v>1241</v>
      </c>
      <c r="C4130" s="2">
        <v>9983</v>
      </c>
      <c r="D4130">
        <v>660</v>
      </c>
      <c r="E4130">
        <v>0</v>
      </c>
      <c r="F4130">
        <v>0</v>
      </c>
      <c r="G4130">
        <v>0</v>
      </c>
      <c r="H4130">
        <v>0</v>
      </c>
      <c r="I4130" t="s">
        <v>22</v>
      </c>
      <c r="J4130" t="s">
        <v>22</v>
      </c>
    </row>
    <row r="4131" spans="1:10" x14ac:dyDescent="0.25">
      <c r="A4131" t="s">
        <v>2538</v>
      </c>
      <c r="B4131" t="s">
        <v>2539</v>
      </c>
      <c r="C4131">
        <v>45</v>
      </c>
      <c r="D4131">
        <v>119</v>
      </c>
      <c r="E4131">
        <v>45</v>
      </c>
      <c r="F4131">
        <v>500</v>
      </c>
      <c r="G4131">
        <v>22</v>
      </c>
      <c r="H4131">
        <v>0</v>
      </c>
      <c r="I4131" t="s">
        <v>22</v>
      </c>
      <c r="J4131" t="s">
        <v>22</v>
      </c>
    </row>
    <row r="4132" spans="1:10" x14ac:dyDescent="0.25">
      <c r="A4132" t="s">
        <v>2540</v>
      </c>
      <c r="B4132" t="s">
        <v>1246</v>
      </c>
      <c r="C4132">
        <v>0</v>
      </c>
      <c r="D4132">
        <v>0</v>
      </c>
      <c r="E4132">
        <v>0</v>
      </c>
      <c r="F4132">
        <v>0</v>
      </c>
      <c r="G4132">
        <v>517</v>
      </c>
      <c r="H4132">
        <v>0</v>
      </c>
      <c r="I4132" t="s">
        <v>22</v>
      </c>
      <c r="J4132" t="s">
        <v>22</v>
      </c>
    </row>
    <row r="4133" spans="1:10" x14ac:dyDescent="0.25">
      <c r="A4133" t="s">
        <v>2541</v>
      </c>
      <c r="B4133" t="s">
        <v>475</v>
      </c>
      <c r="C4133">
        <v>105</v>
      </c>
      <c r="D4133">
        <v>133</v>
      </c>
      <c r="E4133">
        <v>0</v>
      </c>
      <c r="F4133" s="2">
        <v>1000</v>
      </c>
      <c r="G4133">
        <v>0</v>
      </c>
      <c r="H4133">
        <v>0</v>
      </c>
      <c r="I4133" t="s">
        <v>22</v>
      </c>
      <c r="J4133" t="s">
        <v>22</v>
      </c>
    </row>
    <row r="4134" spans="1:10" x14ac:dyDescent="0.25">
      <c r="A4134" t="s">
        <v>2542</v>
      </c>
      <c r="B4134" t="s">
        <v>477</v>
      </c>
      <c r="C4134">
        <v>0</v>
      </c>
      <c r="D4134">
        <v>0</v>
      </c>
      <c r="E4134">
        <v>0</v>
      </c>
      <c r="F4134">
        <v>0</v>
      </c>
      <c r="G4134">
        <v>0</v>
      </c>
      <c r="H4134">
        <v>0</v>
      </c>
      <c r="I4134" t="s">
        <v>22</v>
      </c>
      <c r="J4134" t="s">
        <v>22</v>
      </c>
    </row>
    <row r="4135" spans="1:10" x14ac:dyDescent="0.25">
      <c r="C4135" t="s">
        <v>108</v>
      </c>
      <c r="D4135" t="s">
        <v>108</v>
      </c>
      <c r="E4135" t="s">
        <v>108</v>
      </c>
      <c r="F4135" t="s">
        <v>108</v>
      </c>
      <c r="G4135" t="s">
        <v>108</v>
      </c>
    </row>
    <row r="4136" spans="1:10" x14ac:dyDescent="0.25">
      <c r="H4136" t="s">
        <v>22</v>
      </c>
      <c r="I4136" t="s">
        <v>22</v>
      </c>
      <c r="J4136" t="s">
        <v>22</v>
      </c>
    </row>
    <row r="4137" spans="1:10" x14ac:dyDescent="0.25">
      <c r="A4137" t="s">
        <v>109</v>
      </c>
    </row>
    <row r="4138" spans="1:10" x14ac:dyDescent="0.25">
      <c r="B4138" t="s">
        <v>478</v>
      </c>
      <c r="C4138" s="2">
        <v>71840</v>
      </c>
      <c r="D4138" s="2">
        <v>43337</v>
      </c>
      <c r="E4138" s="2">
        <v>48086</v>
      </c>
      <c r="F4138" s="2">
        <v>83616</v>
      </c>
      <c r="G4138" s="2">
        <v>33803</v>
      </c>
      <c r="H4138">
        <v>0</v>
      </c>
    </row>
    <row r="4140" spans="1:10" x14ac:dyDescent="0.25">
      <c r="A4140" t="s">
        <v>489</v>
      </c>
    </row>
    <row r="4141" spans="1:10" x14ac:dyDescent="0.25">
      <c r="A4141" t="s">
        <v>18</v>
      </c>
    </row>
    <row r="4142" spans="1:10" x14ac:dyDescent="0.25">
      <c r="A4142" t="s">
        <v>2543</v>
      </c>
      <c r="B4142" t="s">
        <v>489</v>
      </c>
      <c r="C4142">
        <v>553</v>
      </c>
      <c r="D4142">
        <v>171</v>
      </c>
      <c r="E4142">
        <v>214</v>
      </c>
      <c r="F4142">
        <v>500</v>
      </c>
      <c r="G4142">
        <v>745</v>
      </c>
      <c r="H4142">
        <v>0</v>
      </c>
      <c r="I4142" t="s">
        <v>22</v>
      </c>
      <c r="J4142" t="s">
        <v>22</v>
      </c>
    </row>
    <row r="4143" spans="1:10" x14ac:dyDescent="0.25">
      <c r="A4143" t="s">
        <v>2544</v>
      </c>
      <c r="B4143" t="s">
        <v>1252</v>
      </c>
      <c r="C4143">
        <v>0</v>
      </c>
      <c r="D4143">
        <v>0</v>
      </c>
      <c r="E4143">
        <v>0</v>
      </c>
      <c r="F4143">
        <v>150</v>
      </c>
      <c r="G4143" s="2">
        <v>1688</v>
      </c>
      <c r="H4143">
        <v>0</v>
      </c>
      <c r="I4143" t="s">
        <v>22</v>
      </c>
      <c r="J4143" t="s">
        <v>22</v>
      </c>
    </row>
    <row r="4144" spans="1:10" x14ac:dyDescent="0.25">
      <c r="A4144" t="s">
        <v>2545</v>
      </c>
      <c r="B4144" t="s">
        <v>496</v>
      </c>
      <c r="C4144" s="2">
        <v>3713</v>
      </c>
      <c r="D4144">
        <v>508</v>
      </c>
      <c r="E4144" s="2">
        <v>1058</v>
      </c>
      <c r="F4144" s="2">
        <v>2000</v>
      </c>
      <c r="G4144">
        <v>615</v>
      </c>
      <c r="H4144">
        <v>0</v>
      </c>
      <c r="I4144" t="s">
        <v>22</v>
      </c>
      <c r="J4144" t="s">
        <v>22</v>
      </c>
    </row>
    <row r="4145" spans="1:10" x14ac:dyDescent="0.25">
      <c r="A4145" t="s">
        <v>2546</v>
      </c>
      <c r="B4145" t="s">
        <v>1259</v>
      </c>
      <c r="C4145">
        <v>430</v>
      </c>
      <c r="D4145">
        <v>258</v>
      </c>
      <c r="E4145">
        <v>372</v>
      </c>
      <c r="F4145">
        <v>500</v>
      </c>
      <c r="G4145">
        <v>140</v>
      </c>
      <c r="H4145">
        <v>0</v>
      </c>
      <c r="I4145" t="s">
        <v>22</v>
      </c>
      <c r="J4145" t="s">
        <v>22</v>
      </c>
    </row>
    <row r="4146" spans="1:10" x14ac:dyDescent="0.25">
      <c r="A4146" t="s">
        <v>2547</v>
      </c>
      <c r="B4146" t="s">
        <v>498</v>
      </c>
      <c r="C4146">
        <v>0</v>
      </c>
      <c r="D4146">
        <v>0</v>
      </c>
      <c r="E4146">
        <v>0</v>
      </c>
      <c r="F4146">
        <v>0</v>
      </c>
      <c r="G4146">
        <v>0</v>
      </c>
      <c r="H4146">
        <v>0</v>
      </c>
      <c r="I4146" t="s">
        <v>22</v>
      </c>
      <c r="J4146" t="s">
        <v>22</v>
      </c>
    </row>
    <row r="4147" spans="1:10" x14ac:dyDescent="0.25">
      <c r="A4147" t="s">
        <v>2548</v>
      </c>
      <c r="B4147" t="s">
        <v>500</v>
      </c>
      <c r="C4147">
        <v>0</v>
      </c>
      <c r="D4147">
        <v>0</v>
      </c>
      <c r="E4147">
        <v>0</v>
      </c>
      <c r="F4147">
        <v>0</v>
      </c>
      <c r="G4147">
        <v>0</v>
      </c>
      <c r="H4147">
        <v>0</v>
      </c>
      <c r="I4147" t="s">
        <v>22</v>
      </c>
      <c r="J4147" t="s">
        <v>22</v>
      </c>
    </row>
    <row r="4148" spans="1:10" x14ac:dyDescent="0.25">
      <c r="C4148" t="s">
        <v>108</v>
      </c>
      <c r="D4148" t="s">
        <v>108</v>
      </c>
      <c r="E4148" t="s">
        <v>108</v>
      </c>
      <c r="F4148" t="s">
        <v>108</v>
      </c>
      <c r="G4148" t="s">
        <v>108</v>
      </c>
    </row>
    <row r="4149" spans="1:10" x14ac:dyDescent="0.25">
      <c r="H4149" t="s">
        <v>22</v>
      </c>
      <c r="I4149" t="s">
        <v>22</v>
      </c>
      <c r="J4149" t="s">
        <v>22</v>
      </c>
    </row>
    <row r="4150" spans="1:10" x14ac:dyDescent="0.25">
      <c r="A4150" t="s">
        <v>109</v>
      </c>
    </row>
    <row r="4151" spans="1:10" x14ac:dyDescent="0.25">
      <c r="B4151" t="s">
        <v>489</v>
      </c>
      <c r="C4151" s="2">
        <v>4696</v>
      </c>
      <c r="D4151">
        <v>936</v>
      </c>
      <c r="E4151" s="2">
        <v>1644</v>
      </c>
      <c r="F4151" s="2">
        <v>3150</v>
      </c>
      <c r="G4151" s="2">
        <v>3189</v>
      </c>
      <c r="H4151">
        <v>0</v>
      </c>
    </row>
    <row r="4152" spans="1:10" x14ac:dyDescent="0.25">
      <c r="A4152" t="s">
        <v>110</v>
      </c>
    </row>
    <row r="4153" spans="1:10" x14ac:dyDescent="0.25">
      <c r="A4153" s="1">
        <v>43991</v>
      </c>
      <c r="B4153" t="s">
        <v>1615</v>
      </c>
      <c r="D4153" t="s">
        <v>112</v>
      </c>
      <c r="E4153" t="s">
        <v>113</v>
      </c>
      <c r="F4153" t="s">
        <v>114</v>
      </c>
      <c r="J4153" t="s">
        <v>1043</v>
      </c>
    </row>
    <row r="4154" spans="1:10" x14ac:dyDescent="0.25">
      <c r="D4154" t="s">
        <v>116</v>
      </c>
      <c r="E4154" t="s">
        <v>117</v>
      </c>
      <c r="F4154" t="s">
        <v>118</v>
      </c>
    </row>
    <row r="4155" spans="1:10" x14ac:dyDescent="0.25">
      <c r="D4155" t="s">
        <v>119</v>
      </c>
      <c r="E4155" t="s">
        <v>120</v>
      </c>
      <c r="F4155" t="s">
        <v>121</v>
      </c>
    </row>
    <row r="4156" spans="1:10" x14ac:dyDescent="0.25">
      <c r="A4156" t="s">
        <v>1906</v>
      </c>
      <c r="B4156" t="s">
        <v>1907</v>
      </c>
    </row>
    <row r="4157" spans="1:10" x14ac:dyDescent="0.25">
      <c r="A4157" t="s">
        <v>386</v>
      </c>
    </row>
    <row r="4158" spans="1:10" x14ac:dyDescent="0.25">
      <c r="F4158" t="s">
        <v>2</v>
      </c>
      <c r="G4158" t="s">
        <v>3</v>
      </c>
      <c r="H4158" t="s">
        <v>4</v>
      </c>
      <c r="I4158" t="s">
        <v>5</v>
      </c>
      <c r="J4158" t="s">
        <v>6</v>
      </c>
    </row>
    <row r="4159" spans="1:10" x14ac:dyDescent="0.25">
      <c r="C4159" t="s">
        <v>7</v>
      </c>
      <c r="D4159" t="s">
        <v>8</v>
      </c>
      <c r="E4159" t="s">
        <v>9</v>
      </c>
      <c r="F4159" t="s">
        <v>10</v>
      </c>
      <c r="G4159" t="s">
        <v>124</v>
      </c>
      <c r="H4159" t="s">
        <v>12</v>
      </c>
      <c r="I4159" t="s">
        <v>13</v>
      </c>
      <c r="J4159" t="s">
        <v>14</v>
      </c>
    </row>
    <row r="4160" spans="1:10" x14ac:dyDescent="0.25">
      <c r="C4160" t="s">
        <v>15</v>
      </c>
      <c r="D4160" t="s">
        <v>15</v>
      </c>
      <c r="E4160" t="s">
        <v>15</v>
      </c>
      <c r="F4160" t="s">
        <v>16</v>
      </c>
      <c r="G4160" t="s">
        <v>15</v>
      </c>
      <c r="H4160" t="s">
        <v>17</v>
      </c>
      <c r="I4160" t="s">
        <v>16</v>
      </c>
      <c r="J4160" t="s">
        <v>16</v>
      </c>
    </row>
    <row r="4161" spans="1:10" x14ac:dyDescent="0.25">
      <c r="A4161" t="s">
        <v>18</v>
      </c>
      <c r="B4161" t="s">
        <v>19</v>
      </c>
      <c r="C4161" t="s">
        <v>20</v>
      </c>
      <c r="D4161" t="s">
        <v>21</v>
      </c>
      <c r="E4161" t="s">
        <v>22</v>
      </c>
      <c r="F4161" t="s">
        <v>23</v>
      </c>
      <c r="G4161" t="s">
        <v>24</v>
      </c>
      <c r="H4161" t="s">
        <v>20</v>
      </c>
      <c r="I4161" t="s">
        <v>24</v>
      </c>
      <c r="J4161" t="s">
        <v>20</v>
      </c>
    </row>
    <row r="4163" spans="1:10" x14ac:dyDescent="0.25">
      <c r="A4163" t="s">
        <v>501</v>
      </c>
    </row>
    <row r="4164" spans="1:10" x14ac:dyDescent="0.25">
      <c r="A4164" t="s">
        <v>18</v>
      </c>
    </row>
    <row r="4165" spans="1:10" x14ac:dyDescent="0.25">
      <c r="A4165" t="s">
        <v>2549</v>
      </c>
      <c r="B4165" t="s">
        <v>2550</v>
      </c>
      <c r="C4165">
        <v>0</v>
      </c>
      <c r="D4165">
        <v>0</v>
      </c>
      <c r="E4165">
        <v>0</v>
      </c>
      <c r="F4165">
        <v>0</v>
      </c>
      <c r="G4165">
        <v>0</v>
      </c>
      <c r="H4165">
        <v>0</v>
      </c>
      <c r="I4165" t="s">
        <v>22</v>
      </c>
      <c r="J4165" t="s">
        <v>22</v>
      </c>
    </row>
    <row r="4166" spans="1:10" x14ac:dyDescent="0.25">
      <c r="A4166" t="s">
        <v>2551</v>
      </c>
      <c r="B4166" t="s">
        <v>509</v>
      </c>
      <c r="C4166" s="2">
        <v>2950</v>
      </c>
      <c r="D4166" s="2">
        <v>2445</v>
      </c>
      <c r="E4166">
        <v>0</v>
      </c>
      <c r="F4166" s="2">
        <v>3000</v>
      </c>
      <c r="G4166" s="2">
        <v>1732</v>
      </c>
      <c r="H4166">
        <v>0</v>
      </c>
      <c r="I4166" t="s">
        <v>22</v>
      </c>
      <c r="J4166" t="s">
        <v>22</v>
      </c>
    </row>
    <row r="4167" spans="1:10" x14ac:dyDescent="0.25">
      <c r="A4167" t="s">
        <v>2552</v>
      </c>
      <c r="B4167" t="s">
        <v>519</v>
      </c>
      <c r="C4167">
        <v>0</v>
      </c>
      <c r="D4167">
        <v>0</v>
      </c>
      <c r="E4167" s="2">
        <v>13310</v>
      </c>
      <c r="F4167" s="2">
        <v>4000</v>
      </c>
      <c r="G4167">
        <v>0</v>
      </c>
      <c r="H4167">
        <v>0</v>
      </c>
      <c r="I4167" t="s">
        <v>22</v>
      </c>
      <c r="J4167" t="s">
        <v>22</v>
      </c>
    </row>
    <row r="4168" spans="1:10" x14ac:dyDescent="0.25">
      <c r="A4168" t="s">
        <v>2553</v>
      </c>
      <c r="B4168" t="s">
        <v>521</v>
      </c>
      <c r="C4168">
        <v>0</v>
      </c>
      <c r="D4168">
        <v>0</v>
      </c>
      <c r="E4168">
        <v>0</v>
      </c>
      <c r="F4168">
        <v>0</v>
      </c>
      <c r="G4168">
        <v>0</v>
      </c>
      <c r="H4168">
        <v>0</v>
      </c>
      <c r="I4168" t="s">
        <v>22</v>
      </c>
      <c r="J4168" t="s">
        <v>22</v>
      </c>
    </row>
    <row r="4169" spans="1:10" x14ac:dyDescent="0.25">
      <c r="C4169" t="s">
        <v>108</v>
      </c>
      <c r="D4169" t="s">
        <v>108</v>
      </c>
      <c r="E4169" t="s">
        <v>108</v>
      </c>
      <c r="F4169" t="s">
        <v>108</v>
      </c>
      <c r="G4169" t="s">
        <v>108</v>
      </c>
    </row>
    <row r="4170" spans="1:10" x14ac:dyDescent="0.25">
      <c r="H4170" t="s">
        <v>22</v>
      </c>
      <c r="I4170" t="s">
        <v>22</v>
      </c>
      <c r="J4170" t="s">
        <v>22</v>
      </c>
    </row>
    <row r="4171" spans="1:10" x14ac:dyDescent="0.25">
      <c r="A4171" t="s">
        <v>109</v>
      </c>
    </row>
    <row r="4172" spans="1:10" x14ac:dyDescent="0.25">
      <c r="B4172" t="s">
        <v>501</v>
      </c>
      <c r="C4172" s="2">
        <v>2950</v>
      </c>
      <c r="D4172" s="2">
        <v>2445</v>
      </c>
      <c r="E4172" s="2">
        <v>13310</v>
      </c>
      <c r="F4172" s="2">
        <v>7000</v>
      </c>
      <c r="G4172" s="2">
        <v>1732</v>
      </c>
      <c r="H4172">
        <v>0</v>
      </c>
    </row>
    <row r="4174" spans="1:10" x14ac:dyDescent="0.25">
      <c r="A4174" t="s">
        <v>524</v>
      </c>
      <c r="B4174" t="s">
        <v>525</v>
      </c>
    </row>
    <row r="4175" spans="1:10" x14ac:dyDescent="0.25">
      <c r="A4175" t="s">
        <v>18</v>
      </c>
      <c r="B4175" t="s">
        <v>526</v>
      </c>
    </row>
    <row r="4176" spans="1:10" x14ac:dyDescent="0.25">
      <c r="A4176" t="s">
        <v>2554</v>
      </c>
      <c r="B4176" t="s">
        <v>1282</v>
      </c>
      <c r="C4176">
        <v>0</v>
      </c>
      <c r="D4176">
        <v>0</v>
      </c>
      <c r="E4176">
        <v>0</v>
      </c>
      <c r="F4176">
        <v>0</v>
      </c>
      <c r="G4176">
        <v>0</v>
      </c>
      <c r="H4176">
        <v>0</v>
      </c>
      <c r="I4176" t="s">
        <v>22</v>
      </c>
      <c r="J4176" t="s">
        <v>22</v>
      </c>
    </row>
    <row r="4177" spans="1:10" x14ac:dyDescent="0.25">
      <c r="A4177" t="s">
        <v>2555</v>
      </c>
      <c r="B4177" t="s">
        <v>660</v>
      </c>
      <c r="C4177">
        <v>0</v>
      </c>
      <c r="D4177">
        <v>0</v>
      </c>
      <c r="E4177">
        <v>0</v>
      </c>
      <c r="F4177">
        <v>0</v>
      </c>
      <c r="G4177">
        <v>0</v>
      </c>
      <c r="H4177">
        <v>0</v>
      </c>
      <c r="I4177" t="s">
        <v>22</v>
      </c>
      <c r="J4177" t="s">
        <v>22</v>
      </c>
    </row>
    <row r="4178" spans="1:10" x14ac:dyDescent="0.25">
      <c r="C4178" t="s">
        <v>108</v>
      </c>
      <c r="D4178" t="s">
        <v>108</v>
      </c>
      <c r="E4178" t="s">
        <v>108</v>
      </c>
      <c r="F4178" t="s">
        <v>108</v>
      </c>
      <c r="G4178" t="s">
        <v>108</v>
      </c>
    </row>
    <row r="4179" spans="1:10" x14ac:dyDescent="0.25">
      <c r="H4179" t="s">
        <v>22</v>
      </c>
      <c r="I4179" t="s">
        <v>22</v>
      </c>
      <c r="J4179" t="s">
        <v>22</v>
      </c>
    </row>
    <row r="4180" spans="1:10" x14ac:dyDescent="0.25">
      <c r="A4180" t="s">
        <v>109</v>
      </c>
    </row>
    <row r="4181" spans="1:10" x14ac:dyDescent="0.25">
      <c r="B4181" t="s">
        <v>530</v>
      </c>
      <c r="C4181">
        <v>0</v>
      </c>
      <c r="D4181">
        <v>0</v>
      </c>
      <c r="E4181">
        <v>0</v>
      </c>
      <c r="F4181">
        <v>0</v>
      </c>
      <c r="G4181">
        <v>0</v>
      </c>
      <c r="H4181">
        <v>0</v>
      </c>
    </row>
    <row r="4182" spans="1:10" x14ac:dyDescent="0.25">
      <c r="A4182" t="s">
        <v>18</v>
      </c>
      <c r="B4182" t="s">
        <v>19</v>
      </c>
      <c r="C4182" t="s">
        <v>20</v>
      </c>
      <c r="D4182" t="s">
        <v>21</v>
      </c>
      <c r="E4182" t="s">
        <v>26</v>
      </c>
    </row>
    <row r="4183" spans="1:10" x14ac:dyDescent="0.25">
      <c r="E4183" t="s">
        <v>339</v>
      </c>
      <c r="F4183" t="s">
        <v>23</v>
      </c>
      <c r="G4183" t="s">
        <v>24</v>
      </c>
      <c r="H4183" t="s">
        <v>20</v>
      </c>
      <c r="I4183" t="s">
        <v>24</v>
      </c>
      <c r="J4183" t="s">
        <v>20</v>
      </c>
    </row>
    <row r="4184" spans="1:10" x14ac:dyDescent="0.25">
      <c r="A4184" t="s">
        <v>109</v>
      </c>
    </row>
    <row r="4185" spans="1:10" x14ac:dyDescent="0.25">
      <c r="A4185">
        <v>82</v>
      </c>
      <c r="B4185" t="e">
        <f>-BOOSTER PUMP STATIONS</f>
        <v>#NAME?</v>
      </c>
      <c r="C4185" s="2">
        <v>109704</v>
      </c>
      <c r="D4185" s="2">
        <v>74156</v>
      </c>
      <c r="E4185" s="2">
        <v>99387</v>
      </c>
      <c r="F4185" s="2">
        <v>160110</v>
      </c>
      <c r="G4185" s="2">
        <v>70063</v>
      </c>
      <c r="H4185">
        <v>0</v>
      </c>
    </row>
    <row r="4187" spans="1:10" x14ac:dyDescent="0.25">
      <c r="A4187" t="s">
        <v>2556</v>
      </c>
      <c r="B4187" t="s">
        <v>2557</v>
      </c>
    </row>
    <row r="4188" spans="1:10" x14ac:dyDescent="0.25">
      <c r="A4188" t="s">
        <v>389</v>
      </c>
      <c r="B4188" t="s">
        <v>389</v>
      </c>
    </row>
    <row r="4190" spans="1:10" x14ac:dyDescent="0.25">
      <c r="A4190" t="s">
        <v>391</v>
      </c>
      <c r="B4190" t="s">
        <v>392</v>
      </c>
    </row>
    <row r="4191" spans="1:10" x14ac:dyDescent="0.25">
      <c r="A4191" t="s">
        <v>18</v>
      </c>
      <c r="B4191" t="s">
        <v>228</v>
      </c>
    </row>
    <row r="4192" spans="1:10" x14ac:dyDescent="0.25">
      <c r="A4192" t="s">
        <v>2558</v>
      </c>
      <c r="B4192" t="s">
        <v>569</v>
      </c>
      <c r="C4192">
        <v>812</v>
      </c>
      <c r="D4192">
        <v>-812</v>
      </c>
      <c r="E4192">
        <v>0</v>
      </c>
      <c r="F4192">
        <v>0</v>
      </c>
      <c r="G4192">
        <v>0</v>
      </c>
      <c r="H4192">
        <v>0</v>
      </c>
      <c r="I4192" t="s">
        <v>22</v>
      </c>
      <c r="J4192" t="s">
        <v>22</v>
      </c>
    </row>
    <row r="4193" spans="1:10" x14ac:dyDescent="0.25">
      <c r="A4193" t="s">
        <v>2559</v>
      </c>
      <c r="B4193" t="s">
        <v>396</v>
      </c>
      <c r="C4193">
        <v>0</v>
      </c>
      <c r="D4193">
        <v>0</v>
      </c>
      <c r="E4193">
        <v>0</v>
      </c>
      <c r="F4193">
        <v>0</v>
      </c>
      <c r="G4193">
        <v>0</v>
      </c>
      <c r="H4193">
        <v>0</v>
      </c>
      <c r="I4193" t="s">
        <v>22</v>
      </c>
      <c r="J4193" t="s">
        <v>22</v>
      </c>
    </row>
    <row r="4194" spans="1:10" x14ac:dyDescent="0.25">
      <c r="A4194" t="s">
        <v>2560</v>
      </c>
      <c r="B4194" t="s">
        <v>398</v>
      </c>
      <c r="C4194" s="2">
        <v>1574</v>
      </c>
      <c r="D4194" s="2">
        <v>1323</v>
      </c>
      <c r="E4194" s="2">
        <v>1665</v>
      </c>
      <c r="F4194">
        <v>0</v>
      </c>
      <c r="G4194" s="2">
        <v>1010</v>
      </c>
      <c r="H4194">
        <v>0</v>
      </c>
      <c r="I4194" t="s">
        <v>22</v>
      </c>
      <c r="J4194" t="s">
        <v>22</v>
      </c>
    </row>
    <row r="4195" spans="1:10" x14ac:dyDescent="0.25">
      <c r="A4195" t="s">
        <v>2561</v>
      </c>
      <c r="B4195" t="s">
        <v>400</v>
      </c>
      <c r="C4195" s="2">
        <v>1680</v>
      </c>
      <c r="D4195" s="2">
        <v>1429</v>
      </c>
      <c r="E4195" s="2">
        <v>2024</v>
      </c>
      <c r="F4195">
        <v>0</v>
      </c>
      <c r="G4195" s="2">
        <v>1352</v>
      </c>
      <c r="H4195">
        <v>0</v>
      </c>
      <c r="I4195" t="s">
        <v>22</v>
      </c>
      <c r="J4195" t="s">
        <v>22</v>
      </c>
    </row>
    <row r="4196" spans="1:10" x14ac:dyDescent="0.25">
      <c r="A4196" t="s">
        <v>2562</v>
      </c>
      <c r="B4196" t="s">
        <v>402</v>
      </c>
      <c r="C4196" s="2">
        <v>5243</v>
      </c>
      <c r="D4196" s="2">
        <v>5444</v>
      </c>
      <c r="E4196" s="2">
        <v>8635</v>
      </c>
      <c r="F4196">
        <v>0</v>
      </c>
      <c r="G4196" s="2">
        <v>5684</v>
      </c>
      <c r="H4196">
        <v>0</v>
      </c>
      <c r="I4196" t="s">
        <v>22</v>
      </c>
      <c r="J4196" t="s">
        <v>22</v>
      </c>
    </row>
    <row r="4197" spans="1:10" x14ac:dyDescent="0.25">
      <c r="A4197" t="s">
        <v>2563</v>
      </c>
      <c r="B4197" t="s">
        <v>404</v>
      </c>
      <c r="C4197">
        <v>307</v>
      </c>
      <c r="D4197">
        <v>331</v>
      </c>
      <c r="E4197">
        <v>330</v>
      </c>
      <c r="F4197">
        <v>0</v>
      </c>
      <c r="G4197">
        <v>202</v>
      </c>
      <c r="H4197">
        <v>0</v>
      </c>
      <c r="I4197" t="s">
        <v>22</v>
      </c>
      <c r="J4197" t="s">
        <v>22</v>
      </c>
    </row>
    <row r="4198" spans="1:10" x14ac:dyDescent="0.25">
      <c r="A4198" t="s">
        <v>2564</v>
      </c>
      <c r="B4198" t="s">
        <v>406</v>
      </c>
      <c r="C4198">
        <v>221</v>
      </c>
      <c r="D4198">
        <v>349</v>
      </c>
      <c r="E4198">
        <v>614</v>
      </c>
      <c r="F4198">
        <v>0</v>
      </c>
      <c r="G4198">
        <v>384</v>
      </c>
      <c r="H4198">
        <v>0</v>
      </c>
      <c r="I4198" t="s">
        <v>22</v>
      </c>
      <c r="J4198" t="s">
        <v>22</v>
      </c>
    </row>
    <row r="4199" spans="1:10" x14ac:dyDescent="0.25">
      <c r="A4199" t="s">
        <v>2565</v>
      </c>
      <c r="B4199" t="s">
        <v>690</v>
      </c>
      <c r="C4199">
        <v>0</v>
      </c>
      <c r="D4199">
        <v>52</v>
      </c>
      <c r="E4199">
        <v>121</v>
      </c>
      <c r="F4199">
        <v>0</v>
      </c>
      <c r="G4199">
        <v>138</v>
      </c>
      <c r="H4199">
        <v>0</v>
      </c>
      <c r="I4199" t="s">
        <v>22</v>
      </c>
      <c r="J4199" t="s">
        <v>22</v>
      </c>
    </row>
    <row r="4200" spans="1:10" x14ac:dyDescent="0.25">
      <c r="A4200" t="s">
        <v>2566</v>
      </c>
      <c r="B4200" t="s">
        <v>426</v>
      </c>
      <c r="C4200">
        <v>202</v>
      </c>
      <c r="D4200">
        <v>202</v>
      </c>
      <c r="E4200">
        <v>202</v>
      </c>
      <c r="F4200">
        <v>0</v>
      </c>
      <c r="G4200">
        <v>208</v>
      </c>
      <c r="H4200">
        <v>0</v>
      </c>
      <c r="I4200" t="s">
        <v>22</v>
      </c>
      <c r="J4200" t="s">
        <v>22</v>
      </c>
    </row>
    <row r="4201" spans="1:10" x14ac:dyDescent="0.25">
      <c r="A4201" t="s">
        <v>2567</v>
      </c>
      <c r="B4201" t="s">
        <v>1204</v>
      </c>
      <c r="C4201">
        <v>90</v>
      </c>
      <c r="D4201">
        <v>0</v>
      </c>
      <c r="E4201">
        <v>90</v>
      </c>
      <c r="F4201">
        <v>0</v>
      </c>
      <c r="G4201">
        <v>0</v>
      </c>
      <c r="H4201">
        <v>0</v>
      </c>
      <c r="I4201" t="s">
        <v>22</v>
      </c>
      <c r="J4201" t="s">
        <v>22</v>
      </c>
    </row>
    <row r="4202" spans="1:10" x14ac:dyDescent="0.25">
      <c r="A4202" t="s">
        <v>2568</v>
      </c>
      <c r="B4202" t="s">
        <v>428</v>
      </c>
      <c r="C4202">
        <v>115</v>
      </c>
      <c r="D4202">
        <v>0</v>
      </c>
      <c r="E4202">
        <v>0</v>
      </c>
      <c r="F4202">
        <v>0</v>
      </c>
      <c r="G4202">
        <v>0</v>
      </c>
      <c r="H4202">
        <v>0</v>
      </c>
      <c r="I4202" t="s">
        <v>22</v>
      </c>
      <c r="J4202" t="s">
        <v>22</v>
      </c>
    </row>
    <row r="4203" spans="1:10" x14ac:dyDescent="0.25">
      <c r="A4203" t="s">
        <v>2569</v>
      </c>
      <c r="B4203" t="s">
        <v>430</v>
      </c>
      <c r="C4203">
        <v>17</v>
      </c>
      <c r="D4203">
        <v>17</v>
      </c>
      <c r="E4203">
        <v>17</v>
      </c>
      <c r="F4203">
        <v>0</v>
      </c>
      <c r="G4203">
        <v>17</v>
      </c>
      <c r="H4203">
        <v>0</v>
      </c>
      <c r="I4203" t="s">
        <v>22</v>
      </c>
      <c r="J4203" t="s">
        <v>22</v>
      </c>
    </row>
    <row r="4204" spans="1:10" x14ac:dyDescent="0.25">
      <c r="A4204" t="s">
        <v>2570</v>
      </c>
      <c r="B4204" t="s">
        <v>432</v>
      </c>
      <c r="C4204" s="2">
        <v>1160</v>
      </c>
      <c r="D4204" s="2">
        <v>1573</v>
      </c>
      <c r="E4204" s="2">
        <v>2351</v>
      </c>
      <c r="F4204">
        <v>0</v>
      </c>
      <c r="G4204" s="2">
        <v>2122</v>
      </c>
      <c r="H4204">
        <v>0</v>
      </c>
      <c r="I4204" t="s">
        <v>22</v>
      </c>
      <c r="J4204" t="s">
        <v>22</v>
      </c>
    </row>
    <row r="4205" spans="1:10" x14ac:dyDescent="0.25">
      <c r="A4205" t="s">
        <v>2571</v>
      </c>
      <c r="B4205" t="s">
        <v>434</v>
      </c>
      <c r="C4205">
        <v>0</v>
      </c>
      <c r="D4205">
        <v>0</v>
      </c>
      <c r="E4205">
        <v>0</v>
      </c>
      <c r="F4205">
        <v>0</v>
      </c>
      <c r="G4205">
        <v>0</v>
      </c>
      <c r="H4205">
        <v>0</v>
      </c>
      <c r="I4205" t="s">
        <v>22</v>
      </c>
      <c r="J4205" t="s">
        <v>22</v>
      </c>
    </row>
    <row r="4206" spans="1:10" x14ac:dyDescent="0.25">
      <c r="A4206" t="s">
        <v>2572</v>
      </c>
      <c r="B4206" t="s">
        <v>436</v>
      </c>
      <c r="C4206">
        <v>0</v>
      </c>
      <c r="D4206">
        <v>0</v>
      </c>
      <c r="E4206">
        <v>0</v>
      </c>
      <c r="F4206">
        <v>0</v>
      </c>
      <c r="G4206">
        <v>0</v>
      </c>
      <c r="H4206">
        <v>0</v>
      </c>
      <c r="I4206" t="s">
        <v>22</v>
      </c>
      <c r="J4206" t="s">
        <v>22</v>
      </c>
    </row>
    <row r="4207" spans="1:10" x14ac:dyDescent="0.25">
      <c r="A4207" t="s">
        <v>2573</v>
      </c>
      <c r="B4207" t="s">
        <v>1676</v>
      </c>
      <c r="C4207">
        <v>0</v>
      </c>
      <c r="D4207">
        <v>0</v>
      </c>
      <c r="E4207">
        <v>0</v>
      </c>
      <c r="F4207">
        <v>0</v>
      </c>
      <c r="G4207">
        <v>0</v>
      </c>
      <c r="H4207">
        <v>0</v>
      </c>
      <c r="I4207" t="s">
        <v>22</v>
      </c>
      <c r="J4207" t="s">
        <v>22</v>
      </c>
    </row>
    <row r="4208" spans="1:10" x14ac:dyDescent="0.25">
      <c r="A4208" t="s">
        <v>2574</v>
      </c>
      <c r="B4208" t="s">
        <v>2575</v>
      </c>
      <c r="C4208" s="2">
        <v>18908</v>
      </c>
      <c r="D4208" s="2">
        <v>15357</v>
      </c>
      <c r="E4208" s="2">
        <v>19741</v>
      </c>
      <c r="F4208">
        <v>0</v>
      </c>
      <c r="G4208" s="2">
        <v>11066</v>
      </c>
      <c r="H4208">
        <v>0</v>
      </c>
      <c r="I4208" t="s">
        <v>22</v>
      </c>
      <c r="J4208" t="s">
        <v>22</v>
      </c>
    </row>
    <row r="4209" spans="1:10" x14ac:dyDescent="0.25">
      <c r="A4209" t="s">
        <v>2576</v>
      </c>
      <c r="B4209" t="s">
        <v>1221</v>
      </c>
      <c r="C4209">
        <v>225</v>
      </c>
      <c r="D4209">
        <v>113</v>
      </c>
      <c r="E4209">
        <v>338</v>
      </c>
      <c r="F4209">
        <v>0</v>
      </c>
      <c r="G4209">
        <v>263</v>
      </c>
      <c r="H4209">
        <v>0</v>
      </c>
      <c r="I4209" t="s">
        <v>22</v>
      </c>
      <c r="J4209" t="s">
        <v>22</v>
      </c>
    </row>
    <row r="4210" spans="1:10" x14ac:dyDescent="0.25">
      <c r="C4210" t="s">
        <v>108</v>
      </c>
      <c r="D4210" t="s">
        <v>108</v>
      </c>
      <c r="E4210" t="s">
        <v>108</v>
      </c>
      <c r="F4210" t="s">
        <v>108</v>
      </c>
      <c r="G4210" t="s">
        <v>108</v>
      </c>
    </row>
    <row r="4211" spans="1:10" x14ac:dyDescent="0.25">
      <c r="H4211" t="s">
        <v>22</v>
      </c>
      <c r="I4211" t="s">
        <v>22</v>
      </c>
      <c r="J4211" t="s">
        <v>22</v>
      </c>
    </row>
    <row r="4212" spans="1:10" x14ac:dyDescent="0.25">
      <c r="A4212" t="s">
        <v>109</v>
      </c>
    </row>
    <row r="4213" spans="1:10" x14ac:dyDescent="0.25">
      <c r="B4213" t="s">
        <v>441</v>
      </c>
      <c r="C4213" s="2">
        <v>30554</v>
      </c>
      <c r="D4213" s="2">
        <v>25378</v>
      </c>
      <c r="E4213" s="2">
        <v>36129</v>
      </c>
      <c r="F4213">
        <v>0</v>
      </c>
      <c r="G4213" s="2">
        <v>22446</v>
      </c>
      <c r="H4213">
        <v>0</v>
      </c>
    </row>
    <row r="4215" spans="1:10" x14ac:dyDescent="0.25">
      <c r="A4215" t="s">
        <v>442</v>
      </c>
      <c r="B4215" t="s">
        <v>443</v>
      </c>
    </row>
    <row r="4216" spans="1:10" x14ac:dyDescent="0.25">
      <c r="A4216" t="s">
        <v>18</v>
      </c>
      <c r="B4216" t="s">
        <v>21</v>
      </c>
    </row>
    <row r="4217" spans="1:10" x14ac:dyDescent="0.25">
      <c r="A4217" t="s">
        <v>2577</v>
      </c>
      <c r="B4217" t="s">
        <v>445</v>
      </c>
      <c r="C4217" s="2">
        <v>1398</v>
      </c>
      <c r="D4217">
        <v>618</v>
      </c>
      <c r="E4217" s="2">
        <v>2765</v>
      </c>
      <c r="F4217" s="2">
        <v>3041</v>
      </c>
      <c r="G4217" s="2">
        <v>2917</v>
      </c>
      <c r="H4217">
        <v>0</v>
      </c>
      <c r="I4217" t="s">
        <v>22</v>
      </c>
      <c r="J4217" t="s">
        <v>22</v>
      </c>
    </row>
    <row r="4218" spans="1:10" x14ac:dyDescent="0.25">
      <c r="A4218" t="s">
        <v>2578</v>
      </c>
      <c r="B4218" t="s">
        <v>447</v>
      </c>
      <c r="C4218">
        <v>86</v>
      </c>
      <c r="D4218">
        <v>378</v>
      </c>
      <c r="E4218">
        <v>55</v>
      </c>
      <c r="F4218">
        <v>500</v>
      </c>
      <c r="G4218">
        <v>927</v>
      </c>
      <c r="H4218">
        <v>0</v>
      </c>
      <c r="I4218" t="s">
        <v>22</v>
      </c>
      <c r="J4218" t="s">
        <v>22</v>
      </c>
    </row>
    <row r="4219" spans="1:10" x14ac:dyDescent="0.25">
      <c r="A4219" t="s">
        <v>2579</v>
      </c>
      <c r="B4219" t="s">
        <v>449</v>
      </c>
      <c r="C4219">
        <v>0</v>
      </c>
      <c r="D4219">
        <v>0</v>
      </c>
      <c r="E4219">
        <v>0</v>
      </c>
      <c r="F4219">
        <v>100</v>
      </c>
      <c r="G4219">
        <v>0</v>
      </c>
      <c r="H4219">
        <v>0</v>
      </c>
      <c r="I4219" t="s">
        <v>22</v>
      </c>
      <c r="J4219" t="s">
        <v>22</v>
      </c>
    </row>
    <row r="4220" spans="1:10" x14ac:dyDescent="0.25">
      <c r="A4220" t="s">
        <v>2580</v>
      </c>
      <c r="B4220" t="s">
        <v>451</v>
      </c>
      <c r="C4220">
        <v>0</v>
      </c>
      <c r="D4220">
        <v>0</v>
      </c>
      <c r="E4220">
        <v>713</v>
      </c>
      <c r="F4220">
        <v>500</v>
      </c>
      <c r="G4220">
        <v>480</v>
      </c>
      <c r="H4220">
        <v>0</v>
      </c>
      <c r="I4220" t="s">
        <v>22</v>
      </c>
      <c r="J4220" t="s">
        <v>22</v>
      </c>
    </row>
    <row r="4221" spans="1:10" x14ac:dyDescent="0.25">
      <c r="A4221" t="s">
        <v>2581</v>
      </c>
      <c r="B4221" t="s">
        <v>471</v>
      </c>
      <c r="C4221">
        <v>289</v>
      </c>
      <c r="D4221">
        <v>300</v>
      </c>
      <c r="E4221">
        <v>362</v>
      </c>
      <c r="F4221">
        <v>400</v>
      </c>
      <c r="G4221">
        <v>315</v>
      </c>
      <c r="H4221">
        <v>0</v>
      </c>
      <c r="I4221" t="s">
        <v>22</v>
      </c>
      <c r="J4221" t="s">
        <v>22</v>
      </c>
    </row>
    <row r="4222" spans="1:10" x14ac:dyDescent="0.25">
      <c r="A4222" t="s">
        <v>2582</v>
      </c>
      <c r="B4222" t="s">
        <v>1047</v>
      </c>
      <c r="C4222" s="2">
        <v>30016</v>
      </c>
      <c r="D4222" s="2">
        <v>29585</v>
      </c>
      <c r="E4222" s="2">
        <v>33273</v>
      </c>
      <c r="F4222" s="2">
        <v>47000</v>
      </c>
      <c r="G4222" s="2">
        <v>23934</v>
      </c>
      <c r="H4222">
        <v>0</v>
      </c>
      <c r="I4222" t="s">
        <v>22</v>
      </c>
      <c r="J4222" t="s">
        <v>22</v>
      </c>
    </row>
    <row r="4223" spans="1:10" x14ac:dyDescent="0.25">
      <c r="A4223" t="s">
        <v>2583</v>
      </c>
      <c r="B4223" t="s">
        <v>473</v>
      </c>
      <c r="C4223" s="2">
        <v>94218</v>
      </c>
      <c r="D4223" s="2">
        <v>142278</v>
      </c>
      <c r="E4223" s="2">
        <v>144481</v>
      </c>
      <c r="F4223" s="2">
        <v>150000</v>
      </c>
      <c r="G4223" s="2">
        <v>31445</v>
      </c>
      <c r="H4223">
        <v>0</v>
      </c>
      <c r="I4223" t="s">
        <v>22</v>
      </c>
      <c r="J4223" t="s">
        <v>22</v>
      </c>
    </row>
    <row r="4224" spans="1:10" x14ac:dyDescent="0.25">
      <c r="A4224" t="s">
        <v>2584</v>
      </c>
      <c r="B4224" t="s">
        <v>1241</v>
      </c>
      <c r="C4224" s="2">
        <v>68663</v>
      </c>
      <c r="D4224" s="2">
        <v>7287</v>
      </c>
      <c r="E4224">
        <v>0</v>
      </c>
      <c r="F4224">
        <v>0</v>
      </c>
      <c r="G4224">
        <v>0</v>
      </c>
      <c r="H4224">
        <v>0</v>
      </c>
      <c r="I4224" t="s">
        <v>22</v>
      </c>
      <c r="J4224" t="s">
        <v>22</v>
      </c>
    </row>
    <row r="4225" spans="1:10" x14ac:dyDescent="0.25">
      <c r="A4225" t="s">
        <v>2585</v>
      </c>
      <c r="B4225" t="s">
        <v>2586</v>
      </c>
      <c r="C4225">
        <v>560</v>
      </c>
      <c r="D4225">
        <v>546</v>
      </c>
      <c r="E4225" s="2">
        <v>1935</v>
      </c>
      <c r="F4225" s="2">
        <v>1500</v>
      </c>
      <c r="G4225">
        <v>0</v>
      </c>
      <c r="H4225">
        <v>0</v>
      </c>
      <c r="I4225" t="s">
        <v>22</v>
      </c>
      <c r="J4225" t="s">
        <v>22</v>
      </c>
    </row>
    <row r="4226" spans="1:10" x14ac:dyDescent="0.25">
      <c r="A4226" t="s">
        <v>2587</v>
      </c>
      <c r="B4226" t="s">
        <v>1246</v>
      </c>
      <c r="C4226">
        <v>0</v>
      </c>
      <c r="D4226">
        <v>0</v>
      </c>
      <c r="E4226">
        <v>0</v>
      </c>
      <c r="F4226">
        <v>0</v>
      </c>
      <c r="G4226">
        <v>0</v>
      </c>
      <c r="H4226">
        <v>0</v>
      </c>
      <c r="I4226" t="s">
        <v>22</v>
      </c>
      <c r="J4226" t="s">
        <v>22</v>
      </c>
    </row>
    <row r="4227" spans="1:10" x14ac:dyDescent="0.25">
      <c r="A4227" t="s">
        <v>110</v>
      </c>
    </row>
    <row r="4228" spans="1:10" x14ac:dyDescent="0.25">
      <c r="A4228" s="1">
        <v>43991</v>
      </c>
      <c r="B4228" t="s">
        <v>1615</v>
      </c>
      <c r="D4228" t="s">
        <v>112</v>
      </c>
      <c r="E4228" t="s">
        <v>113</v>
      </c>
      <c r="F4228" t="s">
        <v>114</v>
      </c>
      <c r="J4228" t="s">
        <v>1095</v>
      </c>
    </row>
    <row r="4229" spans="1:10" x14ac:dyDescent="0.25">
      <c r="D4229" t="s">
        <v>116</v>
      </c>
      <c r="E4229" t="s">
        <v>117</v>
      </c>
      <c r="F4229" t="s">
        <v>118</v>
      </c>
    </row>
    <row r="4230" spans="1:10" x14ac:dyDescent="0.25">
      <c r="D4230" t="s">
        <v>119</v>
      </c>
      <c r="E4230" t="s">
        <v>120</v>
      </c>
      <c r="F4230" t="s">
        <v>121</v>
      </c>
    </row>
    <row r="4231" spans="1:10" x14ac:dyDescent="0.25">
      <c r="A4231" t="s">
        <v>1906</v>
      </c>
      <c r="B4231" t="s">
        <v>1907</v>
      </c>
    </row>
    <row r="4232" spans="1:10" x14ac:dyDescent="0.25">
      <c r="A4232" t="s">
        <v>386</v>
      </c>
    </row>
    <row r="4233" spans="1:10" x14ac:dyDescent="0.25">
      <c r="F4233" t="s">
        <v>2</v>
      </c>
      <c r="G4233" t="s">
        <v>3</v>
      </c>
      <c r="H4233" t="s">
        <v>4</v>
      </c>
      <c r="I4233" t="s">
        <v>5</v>
      </c>
      <c r="J4233" t="s">
        <v>6</v>
      </c>
    </row>
    <row r="4234" spans="1:10" x14ac:dyDescent="0.25">
      <c r="C4234" t="s">
        <v>7</v>
      </c>
      <c r="D4234" t="s">
        <v>8</v>
      </c>
      <c r="E4234" t="s">
        <v>9</v>
      </c>
      <c r="F4234" t="s">
        <v>10</v>
      </c>
      <c r="G4234" t="s">
        <v>124</v>
      </c>
      <c r="H4234" t="s">
        <v>12</v>
      </c>
      <c r="I4234" t="s">
        <v>13</v>
      </c>
      <c r="J4234" t="s">
        <v>14</v>
      </c>
    </row>
    <row r="4235" spans="1:10" x14ac:dyDescent="0.25">
      <c r="C4235" t="s">
        <v>15</v>
      </c>
      <c r="D4235" t="s">
        <v>15</v>
      </c>
      <c r="E4235" t="s">
        <v>15</v>
      </c>
      <c r="F4235" t="s">
        <v>16</v>
      </c>
      <c r="G4235" t="s">
        <v>15</v>
      </c>
      <c r="H4235" t="s">
        <v>17</v>
      </c>
      <c r="I4235" t="s">
        <v>16</v>
      </c>
      <c r="J4235" t="s">
        <v>16</v>
      </c>
    </row>
    <row r="4236" spans="1:10" x14ac:dyDescent="0.25">
      <c r="A4236" t="s">
        <v>18</v>
      </c>
      <c r="B4236" t="s">
        <v>19</v>
      </c>
      <c r="C4236" t="s">
        <v>20</v>
      </c>
      <c r="D4236" t="s">
        <v>21</v>
      </c>
      <c r="E4236" t="s">
        <v>22</v>
      </c>
      <c r="F4236" t="s">
        <v>23</v>
      </c>
      <c r="G4236" t="s">
        <v>24</v>
      </c>
      <c r="H4236" t="s">
        <v>20</v>
      </c>
      <c r="I4236" t="s">
        <v>24</v>
      </c>
      <c r="J4236" t="s">
        <v>20</v>
      </c>
    </row>
    <row r="4237" spans="1:10" x14ac:dyDescent="0.25">
      <c r="A4237" t="s">
        <v>2588</v>
      </c>
      <c r="B4237" t="s">
        <v>475</v>
      </c>
      <c r="C4237">
        <v>33</v>
      </c>
      <c r="D4237">
        <v>28</v>
      </c>
      <c r="E4237">
        <v>65</v>
      </c>
      <c r="F4237">
        <v>250</v>
      </c>
      <c r="G4237">
        <v>0</v>
      </c>
      <c r="H4237">
        <v>0</v>
      </c>
      <c r="I4237" t="s">
        <v>22</v>
      </c>
      <c r="J4237" t="s">
        <v>22</v>
      </c>
    </row>
    <row r="4238" spans="1:10" x14ac:dyDescent="0.25">
      <c r="C4238" t="s">
        <v>108</v>
      </c>
      <c r="D4238" t="s">
        <v>108</v>
      </c>
      <c r="E4238" t="s">
        <v>108</v>
      </c>
      <c r="F4238" t="s">
        <v>108</v>
      </c>
      <c r="G4238" t="s">
        <v>108</v>
      </c>
    </row>
    <row r="4239" spans="1:10" x14ac:dyDescent="0.25">
      <c r="H4239" t="s">
        <v>22</v>
      </c>
      <c r="I4239" t="s">
        <v>22</v>
      </c>
      <c r="J4239" t="s">
        <v>22</v>
      </c>
    </row>
    <row r="4240" spans="1:10" x14ac:dyDescent="0.25">
      <c r="A4240" t="s">
        <v>109</v>
      </c>
    </row>
    <row r="4241" spans="1:10" x14ac:dyDescent="0.25">
      <c r="B4241" t="s">
        <v>478</v>
      </c>
      <c r="C4241" s="2">
        <v>195263</v>
      </c>
      <c r="D4241" s="2">
        <v>181019</v>
      </c>
      <c r="E4241" s="2">
        <v>183648</v>
      </c>
      <c r="F4241" s="2">
        <v>203291</v>
      </c>
      <c r="G4241" s="2">
        <v>60018</v>
      </c>
      <c r="H4241">
        <v>0</v>
      </c>
    </row>
    <row r="4243" spans="1:10" x14ac:dyDescent="0.25">
      <c r="A4243" t="s">
        <v>489</v>
      </c>
    </row>
    <row r="4244" spans="1:10" x14ac:dyDescent="0.25">
      <c r="A4244" t="s">
        <v>18</v>
      </c>
    </row>
    <row r="4245" spans="1:10" x14ac:dyDescent="0.25">
      <c r="A4245" t="s">
        <v>2589</v>
      </c>
      <c r="B4245" t="s">
        <v>489</v>
      </c>
      <c r="C4245">
        <v>792</v>
      </c>
      <c r="D4245">
        <v>882</v>
      </c>
      <c r="E4245">
        <v>857</v>
      </c>
      <c r="F4245" s="2">
        <v>1500</v>
      </c>
      <c r="G4245">
        <v>541</v>
      </c>
      <c r="H4245">
        <v>0</v>
      </c>
      <c r="I4245" t="s">
        <v>22</v>
      </c>
      <c r="J4245" t="s">
        <v>22</v>
      </c>
    </row>
    <row r="4246" spans="1:10" x14ac:dyDescent="0.25">
      <c r="A4246" t="s">
        <v>2590</v>
      </c>
      <c r="B4246" t="s">
        <v>1252</v>
      </c>
      <c r="C4246">
        <v>33</v>
      </c>
      <c r="D4246">
        <v>538</v>
      </c>
      <c r="E4246">
        <v>884</v>
      </c>
      <c r="F4246">
        <v>750</v>
      </c>
      <c r="G4246">
        <v>862</v>
      </c>
      <c r="H4246">
        <v>0</v>
      </c>
      <c r="I4246" t="s">
        <v>22</v>
      </c>
      <c r="J4246" t="s">
        <v>22</v>
      </c>
    </row>
    <row r="4247" spans="1:10" x14ac:dyDescent="0.25">
      <c r="A4247" t="s">
        <v>2591</v>
      </c>
      <c r="B4247" t="s">
        <v>496</v>
      </c>
      <c r="C4247" s="2">
        <v>6264</v>
      </c>
      <c r="D4247">
        <v>508</v>
      </c>
      <c r="E4247" s="2">
        <v>1058</v>
      </c>
      <c r="F4247" s="2">
        <v>3000</v>
      </c>
      <c r="G4247">
        <v>933</v>
      </c>
      <c r="H4247">
        <v>0</v>
      </c>
      <c r="I4247" t="s">
        <v>22</v>
      </c>
      <c r="J4247" t="s">
        <v>22</v>
      </c>
    </row>
    <row r="4248" spans="1:10" x14ac:dyDescent="0.25">
      <c r="A4248" t="s">
        <v>2592</v>
      </c>
      <c r="B4248" t="s">
        <v>1259</v>
      </c>
      <c r="C4248" s="2">
        <v>15689</v>
      </c>
      <c r="D4248" s="2">
        <v>17883</v>
      </c>
      <c r="E4248" s="2">
        <v>1214</v>
      </c>
      <c r="F4248" s="2">
        <v>15000</v>
      </c>
      <c r="G4248">
        <v>0</v>
      </c>
      <c r="H4248">
        <v>0</v>
      </c>
      <c r="I4248" t="s">
        <v>22</v>
      </c>
      <c r="J4248" t="s">
        <v>22</v>
      </c>
    </row>
    <row r="4249" spans="1:10" x14ac:dyDescent="0.25">
      <c r="A4249" t="s">
        <v>2593</v>
      </c>
      <c r="B4249" t="s">
        <v>498</v>
      </c>
      <c r="C4249">
        <v>0</v>
      </c>
      <c r="D4249">
        <v>0</v>
      </c>
      <c r="E4249">
        <v>0</v>
      </c>
      <c r="F4249">
        <v>0</v>
      </c>
      <c r="G4249">
        <v>0</v>
      </c>
      <c r="H4249">
        <v>0</v>
      </c>
      <c r="I4249" t="s">
        <v>22</v>
      </c>
      <c r="J4249" t="s">
        <v>22</v>
      </c>
    </row>
    <row r="4250" spans="1:10" x14ac:dyDescent="0.25">
      <c r="A4250" t="s">
        <v>2594</v>
      </c>
      <c r="B4250" t="s">
        <v>500</v>
      </c>
      <c r="C4250">
        <v>0</v>
      </c>
      <c r="D4250">
        <v>0</v>
      </c>
      <c r="E4250">
        <v>0</v>
      </c>
      <c r="F4250">
        <v>0</v>
      </c>
      <c r="G4250">
        <v>0</v>
      </c>
      <c r="H4250">
        <v>0</v>
      </c>
      <c r="I4250" t="s">
        <v>22</v>
      </c>
      <c r="J4250" t="s">
        <v>22</v>
      </c>
    </row>
    <row r="4251" spans="1:10" x14ac:dyDescent="0.25">
      <c r="C4251" t="s">
        <v>108</v>
      </c>
      <c r="D4251" t="s">
        <v>108</v>
      </c>
      <c r="E4251" t="s">
        <v>108</v>
      </c>
      <c r="F4251" t="s">
        <v>108</v>
      </c>
      <c r="G4251" t="s">
        <v>108</v>
      </c>
    </row>
    <row r="4252" spans="1:10" x14ac:dyDescent="0.25">
      <c r="H4252" t="s">
        <v>22</v>
      </c>
      <c r="I4252" t="s">
        <v>22</v>
      </c>
      <c r="J4252" t="s">
        <v>22</v>
      </c>
    </row>
    <row r="4253" spans="1:10" x14ac:dyDescent="0.25">
      <c r="A4253" t="s">
        <v>109</v>
      </c>
    </row>
    <row r="4254" spans="1:10" x14ac:dyDescent="0.25">
      <c r="B4254" t="s">
        <v>489</v>
      </c>
      <c r="C4254" s="2">
        <v>22778</v>
      </c>
      <c r="D4254" s="2">
        <v>19810</v>
      </c>
      <c r="E4254" s="2">
        <v>4013</v>
      </c>
      <c r="F4254" s="2">
        <v>20250</v>
      </c>
      <c r="G4254" s="2">
        <v>2336</v>
      </c>
      <c r="H4254">
        <v>0</v>
      </c>
    </row>
    <row r="4256" spans="1:10" x14ac:dyDescent="0.25">
      <c r="A4256" t="s">
        <v>501</v>
      </c>
    </row>
    <row r="4257" spans="1:10" x14ac:dyDescent="0.25">
      <c r="A4257" t="s">
        <v>18</v>
      </c>
    </row>
    <row r="4258" spans="1:10" x14ac:dyDescent="0.25">
      <c r="A4258" t="s">
        <v>2595</v>
      </c>
      <c r="B4258" t="s">
        <v>509</v>
      </c>
      <c r="C4258" s="2">
        <v>68896</v>
      </c>
      <c r="D4258" s="2">
        <v>9335</v>
      </c>
      <c r="E4258" s="2">
        <v>4531</v>
      </c>
      <c r="F4258" s="2">
        <v>15000</v>
      </c>
      <c r="G4258">
        <v>0</v>
      </c>
      <c r="H4258">
        <v>0</v>
      </c>
      <c r="I4258" t="s">
        <v>22</v>
      </c>
      <c r="J4258" t="s">
        <v>22</v>
      </c>
    </row>
    <row r="4259" spans="1:10" x14ac:dyDescent="0.25">
      <c r="A4259" t="s">
        <v>2596</v>
      </c>
      <c r="B4259" t="s">
        <v>519</v>
      </c>
      <c r="C4259">
        <v>0</v>
      </c>
      <c r="D4259" s="2">
        <v>2588</v>
      </c>
      <c r="E4259" s="2">
        <v>3409</v>
      </c>
      <c r="F4259" s="2">
        <v>4000</v>
      </c>
      <c r="G4259">
        <v>0</v>
      </c>
      <c r="H4259">
        <v>0</v>
      </c>
      <c r="I4259" t="s">
        <v>22</v>
      </c>
      <c r="J4259" t="s">
        <v>22</v>
      </c>
    </row>
    <row r="4260" spans="1:10" x14ac:dyDescent="0.25">
      <c r="A4260" t="s">
        <v>2597</v>
      </c>
      <c r="B4260" t="s">
        <v>521</v>
      </c>
      <c r="C4260">
        <v>0</v>
      </c>
      <c r="D4260">
        <v>0</v>
      </c>
      <c r="E4260">
        <v>0</v>
      </c>
      <c r="F4260">
        <v>0</v>
      </c>
      <c r="G4260">
        <v>0</v>
      </c>
      <c r="H4260">
        <v>0</v>
      </c>
      <c r="I4260" t="s">
        <v>22</v>
      </c>
      <c r="J4260" t="s">
        <v>22</v>
      </c>
    </row>
    <row r="4261" spans="1:10" x14ac:dyDescent="0.25">
      <c r="C4261" t="s">
        <v>108</v>
      </c>
      <c r="D4261" t="s">
        <v>108</v>
      </c>
      <c r="E4261" t="s">
        <v>108</v>
      </c>
      <c r="F4261" t="s">
        <v>108</v>
      </c>
      <c r="G4261" t="s">
        <v>108</v>
      </c>
    </row>
    <row r="4262" spans="1:10" x14ac:dyDescent="0.25">
      <c r="H4262" t="s">
        <v>22</v>
      </c>
      <c r="I4262" t="s">
        <v>22</v>
      </c>
      <c r="J4262" t="s">
        <v>22</v>
      </c>
    </row>
    <row r="4263" spans="1:10" x14ac:dyDescent="0.25">
      <c r="A4263" t="s">
        <v>109</v>
      </c>
    </row>
    <row r="4264" spans="1:10" x14ac:dyDescent="0.25">
      <c r="B4264" t="s">
        <v>501</v>
      </c>
      <c r="C4264" s="2">
        <v>68896</v>
      </c>
      <c r="D4264" s="2">
        <v>11923</v>
      </c>
      <c r="E4264" s="2">
        <v>7940</v>
      </c>
      <c r="F4264" s="2">
        <v>19000</v>
      </c>
      <c r="G4264">
        <v>0</v>
      </c>
      <c r="H4264">
        <v>0</v>
      </c>
    </row>
    <row r="4266" spans="1:10" x14ac:dyDescent="0.25">
      <c r="A4266" t="s">
        <v>524</v>
      </c>
      <c r="B4266" t="s">
        <v>525</v>
      </c>
    </row>
    <row r="4267" spans="1:10" x14ac:dyDescent="0.25">
      <c r="A4267" t="s">
        <v>18</v>
      </c>
      <c r="B4267" t="s">
        <v>526</v>
      </c>
    </row>
    <row r="4268" spans="1:10" x14ac:dyDescent="0.25">
      <c r="A4268" t="s">
        <v>2598</v>
      </c>
      <c r="B4268" t="s">
        <v>2599</v>
      </c>
      <c r="C4268">
        <v>0</v>
      </c>
      <c r="D4268">
        <v>0</v>
      </c>
      <c r="E4268">
        <v>0</v>
      </c>
      <c r="F4268" s="2">
        <v>999999</v>
      </c>
      <c r="G4268">
        <v>0</v>
      </c>
      <c r="H4268">
        <v>0</v>
      </c>
      <c r="I4268" t="s">
        <v>22</v>
      </c>
      <c r="J4268" t="s">
        <v>22</v>
      </c>
    </row>
    <row r="4269" spans="1:10" x14ac:dyDescent="0.25">
      <c r="A4269" t="s">
        <v>2600</v>
      </c>
      <c r="B4269" t="s">
        <v>1282</v>
      </c>
      <c r="C4269">
        <v>0</v>
      </c>
      <c r="D4269">
        <v>0</v>
      </c>
      <c r="E4269" s="2">
        <v>46300</v>
      </c>
      <c r="F4269">
        <v>0</v>
      </c>
      <c r="G4269">
        <v>0</v>
      </c>
      <c r="H4269">
        <v>0</v>
      </c>
      <c r="I4269" t="s">
        <v>22</v>
      </c>
      <c r="J4269" t="s">
        <v>22</v>
      </c>
    </row>
    <row r="4270" spans="1:10" x14ac:dyDescent="0.25">
      <c r="A4270" t="s">
        <v>2601</v>
      </c>
      <c r="B4270" t="s">
        <v>660</v>
      </c>
      <c r="C4270">
        <v>0</v>
      </c>
      <c r="D4270">
        <v>0</v>
      </c>
      <c r="E4270" s="2">
        <v>189510</v>
      </c>
      <c r="F4270">
        <v>0</v>
      </c>
      <c r="G4270">
        <v>0</v>
      </c>
      <c r="H4270">
        <v>0</v>
      </c>
      <c r="I4270" t="s">
        <v>22</v>
      </c>
      <c r="J4270" t="s">
        <v>22</v>
      </c>
    </row>
    <row r="4271" spans="1:10" x14ac:dyDescent="0.25">
      <c r="C4271" t="s">
        <v>108</v>
      </c>
      <c r="D4271" t="s">
        <v>108</v>
      </c>
      <c r="E4271" t="s">
        <v>108</v>
      </c>
      <c r="F4271" t="s">
        <v>108</v>
      </c>
      <c r="G4271" t="s">
        <v>108</v>
      </c>
    </row>
    <row r="4272" spans="1:10" x14ac:dyDescent="0.25">
      <c r="H4272" t="s">
        <v>22</v>
      </c>
      <c r="I4272" t="s">
        <v>22</v>
      </c>
      <c r="J4272" t="s">
        <v>22</v>
      </c>
    </row>
    <row r="4273" spans="1:10" x14ac:dyDescent="0.25">
      <c r="A4273" t="s">
        <v>109</v>
      </c>
    </row>
    <row r="4274" spans="1:10" x14ac:dyDescent="0.25">
      <c r="B4274" t="s">
        <v>530</v>
      </c>
      <c r="C4274">
        <v>0</v>
      </c>
      <c r="D4274">
        <v>0</v>
      </c>
      <c r="E4274" s="2">
        <v>235810</v>
      </c>
      <c r="F4274" s="2">
        <v>999999</v>
      </c>
      <c r="G4274">
        <v>0</v>
      </c>
      <c r="H4274">
        <v>0</v>
      </c>
    </row>
    <row r="4275" spans="1:10" x14ac:dyDescent="0.25">
      <c r="A4275" t="s">
        <v>18</v>
      </c>
      <c r="B4275" t="s">
        <v>19</v>
      </c>
      <c r="C4275" t="s">
        <v>20</v>
      </c>
      <c r="D4275" t="s">
        <v>21</v>
      </c>
      <c r="E4275" t="s">
        <v>26</v>
      </c>
    </row>
    <row r="4276" spans="1:10" x14ac:dyDescent="0.25">
      <c r="E4276" t="s">
        <v>339</v>
      </c>
      <c r="F4276" t="s">
        <v>23</v>
      </c>
      <c r="G4276" t="s">
        <v>24</v>
      </c>
      <c r="H4276" t="s">
        <v>20</v>
      </c>
      <c r="I4276" t="s">
        <v>24</v>
      </c>
      <c r="J4276" t="s">
        <v>20</v>
      </c>
    </row>
    <row r="4277" spans="1:10" x14ac:dyDescent="0.25">
      <c r="A4277" t="s">
        <v>109</v>
      </c>
    </row>
    <row r="4278" spans="1:10" x14ac:dyDescent="0.25">
      <c r="A4278">
        <v>84</v>
      </c>
      <c r="B4278" t="e">
        <f>-LIFT STATIONS</f>
        <v>#NAME?</v>
      </c>
      <c r="C4278" s="2">
        <v>317491</v>
      </c>
      <c r="D4278" s="2">
        <v>238130</v>
      </c>
      <c r="E4278" s="2">
        <v>467540</v>
      </c>
      <c r="F4278" s="2">
        <v>1242540</v>
      </c>
      <c r="G4278" s="2">
        <v>84800</v>
      </c>
      <c r="H4278">
        <v>0</v>
      </c>
    </row>
    <row r="4280" spans="1:10" x14ac:dyDescent="0.25">
      <c r="A4280" t="s">
        <v>1588</v>
      </c>
      <c r="B4280" t="s">
        <v>1589</v>
      </c>
    </row>
    <row r="4281" spans="1:10" x14ac:dyDescent="0.25">
      <c r="A4281" t="s">
        <v>389</v>
      </c>
      <c r="B4281" t="s">
        <v>1590</v>
      </c>
    </row>
    <row r="4283" spans="1:10" x14ac:dyDescent="0.25">
      <c r="A4283" t="s">
        <v>442</v>
      </c>
      <c r="B4283" t="s">
        <v>443</v>
      </c>
    </row>
    <row r="4284" spans="1:10" x14ac:dyDescent="0.25">
      <c r="A4284" t="s">
        <v>18</v>
      </c>
      <c r="B4284" t="s">
        <v>21</v>
      </c>
    </row>
    <row r="4285" spans="1:10" x14ac:dyDescent="0.25">
      <c r="A4285" t="s">
        <v>2602</v>
      </c>
      <c r="B4285" t="s">
        <v>447</v>
      </c>
      <c r="C4285">
        <v>0</v>
      </c>
      <c r="D4285">
        <v>0</v>
      </c>
      <c r="E4285">
        <v>0</v>
      </c>
      <c r="F4285">
        <v>0</v>
      </c>
      <c r="G4285">
        <v>0</v>
      </c>
      <c r="H4285">
        <v>0</v>
      </c>
      <c r="I4285" t="s">
        <v>22</v>
      </c>
      <c r="J4285" t="s">
        <v>22</v>
      </c>
    </row>
    <row r="4286" spans="1:10" x14ac:dyDescent="0.25">
      <c r="C4286" t="s">
        <v>108</v>
      </c>
      <c r="D4286" t="s">
        <v>108</v>
      </c>
      <c r="E4286" t="s">
        <v>108</v>
      </c>
      <c r="F4286" t="s">
        <v>108</v>
      </c>
      <c r="G4286" t="s">
        <v>108</v>
      </c>
    </row>
    <row r="4287" spans="1:10" x14ac:dyDescent="0.25">
      <c r="H4287" t="s">
        <v>22</v>
      </c>
      <c r="I4287" t="s">
        <v>22</v>
      </c>
      <c r="J4287" t="s">
        <v>22</v>
      </c>
    </row>
    <row r="4288" spans="1:10" x14ac:dyDescent="0.25">
      <c r="A4288" t="s">
        <v>109</v>
      </c>
    </row>
    <row r="4289" spans="1:10" x14ac:dyDescent="0.25">
      <c r="B4289" t="s">
        <v>478</v>
      </c>
      <c r="C4289">
        <v>0</v>
      </c>
      <c r="D4289">
        <v>0</v>
      </c>
      <c r="E4289">
        <v>0</v>
      </c>
      <c r="F4289">
        <v>0</v>
      </c>
      <c r="G4289">
        <v>0</v>
      </c>
      <c r="H4289">
        <v>0</v>
      </c>
    </row>
    <row r="4291" spans="1:10" x14ac:dyDescent="0.25">
      <c r="A4291" t="s">
        <v>1897</v>
      </c>
      <c r="B4291" t="s">
        <v>1898</v>
      </c>
    </row>
    <row r="4292" spans="1:10" x14ac:dyDescent="0.25">
      <c r="A4292" t="s">
        <v>18</v>
      </c>
      <c r="B4292" t="s">
        <v>526</v>
      </c>
    </row>
    <row r="4293" spans="1:10" x14ac:dyDescent="0.25">
      <c r="A4293" t="s">
        <v>1902</v>
      </c>
      <c r="B4293" t="s">
        <v>1702</v>
      </c>
      <c r="C4293" s="2">
        <v>1891876</v>
      </c>
      <c r="D4293" s="2">
        <v>2121676</v>
      </c>
      <c r="E4293">
        <v>0</v>
      </c>
      <c r="F4293">
        <v>0</v>
      </c>
      <c r="G4293">
        <v>0</v>
      </c>
      <c r="H4293">
        <v>0</v>
      </c>
      <c r="I4293" t="s">
        <v>22</v>
      </c>
      <c r="J4293" t="s">
        <v>22</v>
      </c>
    </row>
    <row r="4294" spans="1:10" x14ac:dyDescent="0.25">
      <c r="C4294" t="s">
        <v>108</v>
      </c>
      <c r="D4294" t="s">
        <v>108</v>
      </c>
      <c r="E4294" t="s">
        <v>108</v>
      </c>
      <c r="F4294" t="s">
        <v>108</v>
      </c>
      <c r="G4294" t="s">
        <v>108</v>
      </c>
    </row>
    <row r="4295" spans="1:10" x14ac:dyDescent="0.25">
      <c r="H4295" t="s">
        <v>22</v>
      </c>
      <c r="I4295" t="s">
        <v>22</v>
      </c>
      <c r="J4295" t="s">
        <v>22</v>
      </c>
    </row>
    <row r="4296" spans="1:10" x14ac:dyDescent="0.25">
      <c r="A4296" t="s">
        <v>109</v>
      </c>
    </row>
    <row r="4297" spans="1:10" x14ac:dyDescent="0.25">
      <c r="B4297" t="s">
        <v>1702</v>
      </c>
      <c r="C4297" s="2">
        <v>1891876</v>
      </c>
      <c r="D4297" s="2">
        <v>2121676</v>
      </c>
      <c r="E4297">
        <v>0</v>
      </c>
      <c r="F4297">
        <v>0</v>
      </c>
      <c r="G4297">
        <v>0</v>
      </c>
      <c r="H4297">
        <v>0</v>
      </c>
    </row>
    <row r="4299" spans="1:10" x14ac:dyDescent="0.25">
      <c r="A4299" t="s">
        <v>524</v>
      </c>
      <c r="B4299" t="s">
        <v>525</v>
      </c>
    </row>
    <row r="4300" spans="1:10" x14ac:dyDescent="0.25">
      <c r="A4300" t="s">
        <v>18</v>
      </c>
      <c r="B4300" t="s">
        <v>526</v>
      </c>
    </row>
    <row r="4301" spans="1:10" x14ac:dyDescent="0.25">
      <c r="A4301" t="s">
        <v>2603</v>
      </c>
      <c r="B4301" t="s">
        <v>2604</v>
      </c>
      <c r="C4301">
        <v>0</v>
      </c>
      <c r="D4301">
        <v>0</v>
      </c>
      <c r="E4301">
        <v>0</v>
      </c>
      <c r="F4301">
        <v>0</v>
      </c>
      <c r="G4301">
        <v>0</v>
      </c>
      <c r="H4301">
        <v>0</v>
      </c>
      <c r="I4301" t="s">
        <v>22</v>
      </c>
      <c r="J4301" t="s">
        <v>22</v>
      </c>
    </row>
    <row r="4302" spans="1:10" x14ac:dyDescent="0.25">
      <c r="A4302" t="s">
        <v>2605</v>
      </c>
      <c r="B4302" t="s">
        <v>2606</v>
      </c>
      <c r="C4302">
        <v>0</v>
      </c>
      <c r="D4302">
        <v>0</v>
      </c>
      <c r="E4302">
        <v>0</v>
      </c>
      <c r="F4302">
        <v>0</v>
      </c>
      <c r="G4302">
        <v>0</v>
      </c>
      <c r="H4302">
        <v>0</v>
      </c>
      <c r="I4302" t="s">
        <v>22</v>
      </c>
      <c r="J4302" t="s">
        <v>22</v>
      </c>
    </row>
    <row r="4303" spans="1:10" x14ac:dyDescent="0.25">
      <c r="A4303" t="s">
        <v>2607</v>
      </c>
      <c r="B4303" t="s">
        <v>2608</v>
      </c>
      <c r="C4303">
        <v>0</v>
      </c>
      <c r="D4303">
        <v>0</v>
      </c>
      <c r="E4303">
        <v>0</v>
      </c>
      <c r="F4303">
        <v>0</v>
      </c>
      <c r="G4303">
        <v>0</v>
      </c>
      <c r="H4303">
        <v>0</v>
      </c>
      <c r="I4303" t="s">
        <v>22</v>
      </c>
      <c r="J4303" t="s">
        <v>22</v>
      </c>
    </row>
    <row r="4304" spans="1:10" x14ac:dyDescent="0.25">
      <c r="C4304" t="s">
        <v>108</v>
      </c>
      <c r="D4304" t="s">
        <v>108</v>
      </c>
      <c r="E4304" t="s">
        <v>108</v>
      </c>
      <c r="F4304" t="s">
        <v>108</v>
      </c>
      <c r="G4304" t="s">
        <v>108</v>
      </c>
    </row>
    <row r="4305" spans="1:10" x14ac:dyDescent="0.25">
      <c r="H4305" t="s">
        <v>22</v>
      </c>
      <c r="I4305" t="s">
        <v>22</v>
      </c>
      <c r="J4305" t="s">
        <v>22</v>
      </c>
    </row>
    <row r="4306" spans="1:10" x14ac:dyDescent="0.25">
      <c r="A4306" t="s">
        <v>109</v>
      </c>
    </row>
    <row r="4307" spans="1:10" x14ac:dyDescent="0.25">
      <c r="B4307" t="s">
        <v>530</v>
      </c>
      <c r="C4307">
        <v>0</v>
      </c>
      <c r="D4307">
        <v>0</v>
      </c>
      <c r="E4307">
        <v>0</v>
      </c>
      <c r="F4307">
        <v>0</v>
      </c>
      <c r="G4307">
        <v>0</v>
      </c>
      <c r="H4307">
        <v>0</v>
      </c>
    </row>
    <row r="4308" spans="1:10" x14ac:dyDescent="0.25">
      <c r="A4308" t="s">
        <v>18</v>
      </c>
      <c r="B4308" t="s">
        <v>19</v>
      </c>
      <c r="C4308" t="s">
        <v>20</v>
      </c>
      <c r="D4308" t="s">
        <v>21</v>
      </c>
      <c r="E4308" t="s">
        <v>26</v>
      </c>
    </row>
    <row r="4309" spans="1:10" x14ac:dyDescent="0.25">
      <c r="E4309" t="s">
        <v>339</v>
      </c>
      <c r="F4309" t="s">
        <v>23</v>
      </c>
      <c r="G4309" t="s">
        <v>24</v>
      </c>
      <c r="H4309" t="s">
        <v>20</v>
      </c>
      <c r="I4309" t="s">
        <v>24</v>
      </c>
      <c r="J4309" t="s">
        <v>20</v>
      </c>
    </row>
    <row r="4310" spans="1:10" x14ac:dyDescent="0.25">
      <c r="A4310" t="s">
        <v>109</v>
      </c>
    </row>
    <row r="4311" spans="1:10" x14ac:dyDescent="0.25">
      <c r="A4311">
        <v>85</v>
      </c>
      <c r="B4311" t="e">
        <f>-DEBT SERVICE</f>
        <v>#NAME?</v>
      </c>
      <c r="C4311" s="2">
        <v>1891876</v>
      </c>
      <c r="D4311" s="2">
        <v>2121676</v>
      </c>
      <c r="E4311">
        <v>0</v>
      </c>
      <c r="F4311">
        <v>0</v>
      </c>
      <c r="G4311">
        <v>0</v>
      </c>
      <c r="H4311">
        <v>0</v>
      </c>
    </row>
    <row r="4312" spans="1:10" x14ac:dyDescent="0.25">
      <c r="A4312" t="s">
        <v>110</v>
      </c>
    </row>
    <row r="4313" spans="1:10" x14ac:dyDescent="0.25">
      <c r="A4313" s="1">
        <v>43991</v>
      </c>
      <c r="B4313" t="s">
        <v>1615</v>
      </c>
      <c r="D4313" t="s">
        <v>112</v>
      </c>
      <c r="E4313" t="s">
        <v>113</v>
      </c>
      <c r="F4313" t="s">
        <v>114</v>
      </c>
      <c r="J4313" t="s">
        <v>1133</v>
      </c>
    </row>
    <row r="4314" spans="1:10" x14ac:dyDescent="0.25">
      <c r="D4314" t="s">
        <v>116</v>
      </c>
      <c r="E4314" t="s">
        <v>117</v>
      </c>
      <c r="F4314" t="s">
        <v>118</v>
      </c>
    </row>
    <row r="4315" spans="1:10" x14ac:dyDescent="0.25">
      <c r="D4315" t="s">
        <v>119</v>
      </c>
      <c r="E4315" t="s">
        <v>120</v>
      </c>
      <c r="F4315" t="s">
        <v>121</v>
      </c>
    </row>
    <row r="4316" spans="1:10" x14ac:dyDescent="0.25">
      <c r="A4316" t="s">
        <v>1906</v>
      </c>
      <c r="B4316" t="s">
        <v>1907</v>
      </c>
    </row>
    <row r="4317" spans="1:10" x14ac:dyDescent="0.25">
      <c r="A4317" t="s">
        <v>386</v>
      </c>
    </row>
    <row r="4318" spans="1:10" x14ac:dyDescent="0.25">
      <c r="F4318" t="s">
        <v>2</v>
      </c>
      <c r="G4318" t="s">
        <v>3</v>
      </c>
      <c r="H4318" t="s">
        <v>4</v>
      </c>
      <c r="I4318" t="s">
        <v>5</v>
      </c>
      <c r="J4318" t="s">
        <v>6</v>
      </c>
    </row>
    <row r="4319" spans="1:10" x14ac:dyDescent="0.25">
      <c r="C4319" t="s">
        <v>7</v>
      </c>
      <c r="D4319" t="s">
        <v>8</v>
      </c>
      <c r="E4319" t="s">
        <v>9</v>
      </c>
      <c r="F4319" t="s">
        <v>10</v>
      </c>
      <c r="G4319" t="s">
        <v>124</v>
      </c>
      <c r="H4319" t="s">
        <v>12</v>
      </c>
      <c r="I4319" t="s">
        <v>13</v>
      </c>
      <c r="J4319" t="s">
        <v>14</v>
      </c>
    </row>
    <row r="4320" spans="1:10" x14ac:dyDescent="0.25">
      <c r="C4320" t="s">
        <v>15</v>
      </c>
      <c r="D4320" t="s">
        <v>15</v>
      </c>
      <c r="E4320" t="s">
        <v>15</v>
      </c>
      <c r="F4320" t="s">
        <v>16</v>
      </c>
      <c r="G4320" t="s">
        <v>15</v>
      </c>
      <c r="H4320" t="s">
        <v>17</v>
      </c>
      <c r="I4320" t="s">
        <v>16</v>
      </c>
      <c r="J4320" t="s">
        <v>16</v>
      </c>
    </row>
    <row r="4321" spans="1:10" x14ac:dyDescent="0.25">
      <c r="A4321" t="s">
        <v>18</v>
      </c>
      <c r="B4321" t="s">
        <v>19</v>
      </c>
      <c r="C4321" t="s">
        <v>20</v>
      </c>
      <c r="D4321" t="s">
        <v>21</v>
      </c>
      <c r="E4321" t="s">
        <v>22</v>
      </c>
      <c r="F4321" t="s">
        <v>23</v>
      </c>
      <c r="G4321" t="s">
        <v>24</v>
      </c>
      <c r="H4321" t="s">
        <v>20</v>
      </c>
      <c r="I4321" t="s">
        <v>24</v>
      </c>
      <c r="J4321" t="s">
        <v>20</v>
      </c>
    </row>
    <row r="4323" spans="1:10" x14ac:dyDescent="0.25">
      <c r="A4323" t="s">
        <v>2609</v>
      </c>
      <c r="B4323" t="s">
        <v>2610</v>
      </c>
    </row>
    <row r="4324" spans="1:10" x14ac:dyDescent="0.25">
      <c r="A4324" t="s">
        <v>389</v>
      </c>
      <c r="B4324" t="s">
        <v>1541</v>
      </c>
    </row>
    <row r="4326" spans="1:10" x14ac:dyDescent="0.25">
      <c r="A4326" t="s">
        <v>524</v>
      </c>
      <c r="B4326" t="s">
        <v>525</v>
      </c>
    </row>
    <row r="4327" spans="1:10" x14ac:dyDescent="0.25">
      <c r="A4327" t="s">
        <v>18</v>
      </c>
      <c r="B4327" t="s">
        <v>526</v>
      </c>
    </row>
    <row r="4328" spans="1:10" x14ac:dyDescent="0.25">
      <c r="A4328" t="s">
        <v>1605</v>
      </c>
      <c r="B4328" t="s">
        <v>2611</v>
      </c>
      <c r="C4328" s="2">
        <v>217000</v>
      </c>
      <c r="D4328">
        <v>0</v>
      </c>
      <c r="E4328">
        <v>0</v>
      </c>
      <c r="F4328">
        <v>0</v>
      </c>
      <c r="G4328">
        <v>0</v>
      </c>
      <c r="H4328">
        <v>0</v>
      </c>
      <c r="I4328" t="s">
        <v>22</v>
      </c>
      <c r="J4328" t="s">
        <v>22</v>
      </c>
    </row>
    <row r="4329" spans="1:10" x14ac:dyDescent="0.25">
      <c r="C4329" t="s">
        <v>108</v>
      </c>
      <c r="D4329" t="s">
        <v>108</v>
      </c>
      <c r="E4329" t="s">
        <v>108</v>
      </c>
      <c r="F4329" t="s">
        <v>108</v>
      </c>
      <c r="G4329" t="s">
        <v>108</v>
      </c>
    </row>
    <row r="4330" spans="1:10" x14ac:dyDescent="0.25">
      <c r="H4330" t="s">
        <v>22</v>
      </c>
      <c r="I4330" t="s">
        <v>22</v>
      </c>
      <c r="J4330" t="s">
        <v>22</v>
      </c>
    </row>
    <row r="4331" spans="1:10" x14ac:dyDescent="0.25">
      <c r="A4331" t="s">
        <v>109</v>
      </c>
    </row>
    <row r="4332" spans="1:10" x14ac:dyDescent="0.25">
      <c r="B4332" t="s">
        <v>530</v>
      </c>
      <c r="C4332" s="2">
        <v>217000</v>
      </c>
      <c r="D4332">
        <v>0</v>
      </c>
      <c r="E4332">
        <v>0</v>
      </c>
      <c r="F4332">
        <v>0</v>
      </c>
      <c r="G4332">
        <v>0</v>
      </c>
      <c r="H4332">
        <v>0</v>
      </c>
    </row>
    <row r="4333" spans="1:10" x14ac:dyDescent="0.25">
      <c r="A4333" t="s">
        <v>18</v>
      </c>
      <c r="B4333" t="s">
        <v>19</v>
      </c>
      <c r="C4333" t="s">
        <v>20</v>
      </c>
      <c r="D4333" t="s">
        <v>21</v>
      </c>
      <c r="E4333" t="s">
        <v>26</v>
      </c>
    </row>
    <row r="4334" spans="1:10" x14ac:dyDescent="0.25">
      <c r="E4334" t="s">
        <v>339</v>
      </c>
      <c r="F4334" t="s">
        <v>23</v>
      </c>
      <c r="G4334" t="s">
        <v>24</v>
      </c>
      <c r="H4334" t="s">
        <v>20</v>
      </c>
      <c r="I4334" t="s">
        <v>24</v>
      </c>
      <c r="J4334" t="s">
        <v>20</v>
      </c>
    </row>
    <row r="4335" spans="1:10" x14ac:dyDescent="0.25">
      <c r="A4335" t="s">
        <v>109</v>
      </c>
    </row>
    <row r="4336" spans="1:10" x14ac:dyDescent="0.25">
      <c r="A4336">
        <v>86</v>
      </c>
      <c r="B4336" t="e">
        <f>-UTILITY FUND TRANSFERS</f>
        <v>#NAME?</v>
      </c>
      <c r="C4336" s="2">
        <v>217000</v>
      </c>
      <c r="D4336">
        <v>0</v>
      </c>
      <c r="E4336">
        <v>0</v>
      </c>
      <c r="F4336">
        <v>0</v>
      </c>
      <c r="G4336">
        <v>0</v>
      </c>
      <c r="H4336">
        <v>0</v>
      </c>
    </row>
    <row r="4337" spans="1:10" x14ac:dyDescent="0.25">
      <c r="A4337" t="s">
        <v>18</v>
      </c>
      <c r="B4337" t="s">
        <v>19</v>
      </c>
      <c r="C4337" t="s">
        <v>20</v>
      </c>
      <c r="D4337" t="s">
        <v>21</v>
      </c>
      <c r="E4337" t="s">
        <v>26</v>
      </c>
    </row>
    <row r="4338" spans="1:10" x14ac:dyDescent="0.25">
      <c r="E4338" t="s">
        <v>339</v>
      </c>
      <c r="F4338" t="s">
        <v>23</v>
      </c>
      <c r="G4338" t="s">
        <v>24</v>
      </c>
      <c r="H4338" t="s">
        <v>20</v>
      </c>
      <c r="I4338" t="s">
        <v>24</v>
      </c>
      <c r="J4338" t="s">
        <v>20</v>
      </c>
    </row>
    <row r="4340" spans="1:10" x14ac:dyDescent="0.25">
      <c r="A4340" t="s">
        <v>1609</v>
      </c>
      <c r="B4340" t="s">
        <v>1610</v>
      </c>
      <c r="C4340" s="2">
        <v>9815606</v>
      </c>
      <c r="D4340" s="2">
        <v>8947748</v>
      </c>
      <c r="E4340" s="2">
        <v>9265348</v>
      </c>
      <c r="F4340" s="2">
        <v>12773866</v>
      </c>
      <c r="G4340" s="2">
        <v>6077482</v>
      </c>
      <c r="H4340">
        <v>0</v>
      </c>
    </row>
    <row r="4342" spans="1:10" x14ac:dyDescent="0.25">
      <c r="A4342" t="s">
        <v>1611</v>
      </c>
      <c r="B4342" t="s">
        <v>1612</v>
      </c>
      <c r="C4342" s="2">
        <v>3177628</v>
      </c>
      <c r="D4342" s="2">
        <v>1759940</v>
      </c>
      <c r="E4342" s="2">
        <v>1388421</v>
      </c>
      <c r="F4342" s="2">
        <v>-145243</v>
      </c>
      <c r="G4342" s="2">
        <v>669531</v>
      </c>
      <c r="H4342">
        <v>0</v>
      </c>
    </row>
    <row r="4345" spans="1:10" x14ac:dyDescent="0.25">
      <c r="A4345" t="s">
        <v>1613</v>
      </c>
      <c r="B4345" t="s">
        <v>1614</v>
      </c>
    </row>
    <row r="4346" spans="1:10" x14ac:dyDescent="0.25">
      <c r="A4346" t="s">
        <v>110</v>
      </c>
    </row>
    <row r="4347" spans="1:10" x14ac:dyDescent="0.25">
      <c r="A4347" s="1">
        <v>43991</v>
      </c>
      <c r="B4347" t="s">
        <v>1615</v>
      </c>
      <c r="D4347" t="s">
        <v>112</v>
      </c>
      <c r="E4347" t="s">
        <v>113</v>
      </c>
      <c r="F4347" t="s">
        <v>114</v>
      </c>
      <c r="J4347" t="s">
        <v>1616</v>
      </c>
    </row>
    <row r="4348" spans="1:10" x14ac:dyDescent="0.25">
      <c r="D4348" t="s">
        <v>116</v>
      </c>
      <c r="E4348" t="s">
        <v>117</v>
      </c>
      <c r="F4348" t="s">
        <v>118</v>
      </c>
    </row>
    <row r="4349" spans="1:10" x14ac:dyDescent="0.25">
      <c r="D4349" t="s">
        <v>119</v>
      </c>
      <c r="E4349" t="s">
        <v>120</v>
      </c>
      <c r="F4349" t="s">
        <v>121</v>
      </c>
    </row>
    <row r="4350" spans="1:10" x14ac:dyDescent="0.25">
      <c r="A4350" t="s">
        <v>2612</v>
      </c>
      <c r="B4350" t="s">
        <v>2613</v>
      </c>
    </row>
    <row r="4351" spans="1:10" x14ac:dyDescent="0.25">
      <c r="A4351" t="s">
        <v>1</v>
      </c>
    </row>
    <row r="4352" spans="1:10" x14ac:dyDescent="0.25">
      <c r="F4352" t="s">
        <v>2</v>
      </c>
      <c r="G4352" t="s">
        <v>3</v>
      </c>
      <c r="H4352" t="s">
        <v>4</v>
      </c>
      <c r="I4352" t="s">
        <v>5</v>
      </c>
      <c r="J4352" t="s">
        <v>6</v>
      </c>
    </row>
    <row r="4353" spans="1:10" x14ac:dyDescent="0.25">
      <c r="C4353" t="s">
        <v>7</v>
      </c>
      <c r="D4353" t="s">
        <v>8</v>
      </c>
      <c r="E4353" t="s">
        <v>9</v>
      </c>
      <c r="F4353" t="s">
        <v>10</v>
      </c>
      <c r="G4353" t="s">
        <v>124</v>
      </c>
      <c r="H4353" t="s">
        <v>12</v>
      </c>
      <c r="I4353" t="s">
        <v>13</v>
      </c>
      <c r="J4353" t="s">
        <v>14</v>
      </c>
    </row>
    <row r="4354" spans="1:10" x14ac:dyDescent="0.25">
      <c r="C4354" t="s">
        <v>15</v>
      </c>
      <c r="D4354" t="s">
        <v>15</v>
      </c>
      <c r="E4354" t="s">
        <v>15</v>
      </c>
      <c r="F4354" t="s">
        <v>16</v>
      </c>
      <c r="G4354" t="s">
        <v>15</v>
      </c>
      <c r="H4354" t="s">
        <v>17</v>
      </c>
      <c r="I4354" t="s">
        <v>16</v>
      </c>
      <c r="J4354" t="s">
        <v>16</v>
      </c>
    </row>
    <row r="4355" spans="1:10" x14ac:dyDescent="0.25">
      <c r="A4355" t="s">
        <v>18</v>
      </c>
      <c r="B4355" t="s">
        <v>19</v>
      </c>
      <c r="C4355" t="s">
        <v>20</v>
      </c>
      <c r="D4355" t="s">
        <v>21</v>
      </c>
      <c r="E4355" t="s">
        <v>22</v>
      </c>
      <c r="F4355" t="s">
        <v>23</v>
      </c>
      <c r="G4355" t="s">
        <v>24</v>
      </c>
      <c r="H4355" t="s">
        <v>20</v>
      </c>
      <c r="I4355" t="s">
        <v>24</v>
      </c>
      <c r="J4355" t="s">
        <v>20</v>
      </c>
    </row>
    <row r="4357" spans="1:10" x14ac:dyDescent="0.25">
      <c r="A4357" t="s">
        <v>2001</v>
      </c>
      <c r="B4357" t="s">
        <v>2002</v>
      </c>
    </row>
    <row r="4358" spans="1:10" x14ac:dyDescent="0.25">
      <c r="A4358" t="s">
        <v>18</v>
      </c>
      <c r="B4358" t="s">
        <v>20</v>
      </c>
    </row>
    <row r="4359" spans="1:10" x14ac:dyDescent="0.25">
      <c r="A4359" t="s">
        <v>2614</v>
      </c>
      <c r="B4359" t="s">
        <v>2615</v>
      </c>
      <c r="C4359">
        <v>0</v>
      </c>
      <c r="D4359">
        <v>0</v>
      </c>
      <c r="E4359">
        <v>0</v>
      </c>
      <c r="F4359">
        <v>0</v>
      </c>
      <c r="G4359">
        <v>0</v>
      </c>
      <c r="H4359">
        <v>0</v>
      </c>
      <c r="I4359" t="s">
        <v>22</v>
      </c>
      <c r="J4359" t="s">
        <v>22</v>
      </c>
    </row>
    <row r="4360" spans="1:10" x14ac:dyDescent="0.25">
      <c r="A4360" t="s">
        <v>2616</v>
      </c>
      <c r="B4360" t="s">
        <v>2617</v>
      </c>
      <c r="C4360">
        <v>0</v>
      </c>
      <c r="D4360">
        <v>0</v>
      </c>
      <c r="E4360">
        <v>0</v>
      </c>
      <c r="F4360">
        <v>0</v>
      </c>
      <c r="G4360">
        <v>0</v>
      </c>
      <c r="H4360">
        <v>0</v>
      </c>
      <c r="I4360" t="s">
        <v>22</v>
      </c>
      <c r="J4360" t="s">
        <v>22</v>
      </c>
    </row>
    <row r="4361" spans="1:10" x14ac:dyDescent="0.25">
      <c r="A4361" t="s">
        <v>2618</v>
      </c>
      <c r="B4361" t="s">
        <v>2619</v>
      </c>
      <c r="C4361">
        <v>0</v>
      </c>
      <c r="D4361">
        <v>0</v>
      </c>
      <c r="E4361">
        <v>0</v>
      </c>
      <c r="F4361">
        <v>0</v>
      </c>
      <c r="G4361">
        <v>0</v>
      </c>
      <c r="H4361">
        <v>0</v>
      </c>
      <c r="I4361" t="s">
        <v>22</v>
      </c>
      <c r="J4361" t="s">
        <v>22</v>
      </c>
    </row>
    <row r="4362" spans="1:10" x14ac:dyDescent="0.25">
      <c r="A4362" t="s">
        <v>2620</v>
      </c>
      <c r="B4362" t="s">
        <v>2621</v>
      </c>
      <c r="C4362">
        <v>0</v>
      </c>
      <c r="D4362">
        <v>0</v>
      </c>
      <c r="E4362">
        <v>0</v>
      </c>
      <c r="F4362">
        <v>0</v>
      </c>
      <c r="G4362">
        <v>0</v>
      </c>
      <c r="H4362">
        <v>0</v>
      </c>
      <c r="I4362" t="s">
        <v>22</v>
      </c>
      <c r="J4362" t="s">
        <v>22</v>
      </c>
    </row>
    <row r="4363" spans="1:10" x14ac:dyDescent="0.25">
      <c r="A4363" t="s">
        <v>2622</v>
      </c>
      <c r="B4363" t="s">
        <v>2623</v>
      </c>
      <c r="C4363">
        <v>0</v>
      </c>
      <c r="D4363">
        <v>0</v>
      </c>
      <c r="E4363">
        <v>0</v>
      </c>
      <c r="F4363">
        <v>0</v>
      </c>
      <c r="G4363">
        <v>0</v>
      </c>
      <c r="H4363">
        <v>0</v>
      </c>
      <c r="I4363" t="s">
        <v>22</v>
      </c>
      <c r="J4363" t="s">
        <v>22</v>
      </c>
    </row>
    <row r="4364" spans="1:10" x14ac:dyDescent="0.25">
      <c r="A4364" t="s">
        <v>2624</v>
      </c>
      <c r="B4364" t="s">
        <v>2625</v>
      </c>
      <c r="C4364">
        <v>0</v>
      </c>
      <c r="D4364">
        <v>0</v>
      </c>
      <c r="E4364">
        <v>0</v>
      </c>
      <c r="F4364">
        <v>0</v>
      </c>
      <c r="G4364">
        <v>0</v>
      </c>
      <c r="H4364">
        <v>0</v>
      </c>
      <c r="I4364" t="s">
        <v>22</v>
      </c>
      <c r="J4364" t="s">
        <v>22</v>
      </c>
    </row>
    <row r="4365" spans="1:10" x14ac:dyDescent="0.25">
      <c r="A4365" t="s">
        <v>2626</v>
      </c>
      <c r="B4365" t="s">
        <v>2627</v>
      </c>
      <c r="C4365">
        <v>0</v>
      </c>
      <c r="D4365">
        <v>0</v>
      </c>
      <c r="E4365">
        <v>0</v>
      </c>
      <c r="F4365">
        <v>0</v>
      </c>
      <c r="G4365">
        <v>0</v>
      </c>
      <c r="H4365">
        <v>0</v>
      </c>
      <c r="I4365" t="s">
        <v>22</v>
      </c>
      <c r="J4365" t="s">
        <v>22</v>
      </c>
    </row>
    <row r="4366" spans="1:10" x14ac:dyDescent="0.25">
      <c r="A4366" t="s">
        <v>2628</v>
      </c>
      <c r="B4366" t="s">
        <v>62</v>
      </c>
      <c r="C4366">
        <v>14</v>
      </c>
      <c r="D4366">
        <v>45</v>
      </c>
      <c r="E4366">
        <v>0</v>
      </c>
      <c r="F4366">
        <v>0</v>
      </c>
      <c r="G4366">
        <v>0</v>
      </c>
      <c r="H4366">
        <v>0</v>
      </c>
      <c r="I4366" t="s">
        <v>22</v>
      </c>
      <c r="J4366" t="s">
        <v>22</v>
      </c>
    </row>
    <row r="4367" spans="1:10" x14ac:dyDescent="0.25">
      <c r="A4367" t="s">
        <v>2629</v>
      </c>
      <c r="B4367" t="s">
        <v>2630</v>
      </c>
      <c r="C4367">
        <v>0</v>
      </c>
      <c r="D4367">
        <v>0</v>
      </c>
      <c r="E4367">
        <v>0</v>
      </c>
      <c r="F4367">
        <v>0</v>
      </c>
      <c r="G4367">
        <v>0</v>
      </c>
      <c r="H4367">
        <v>0</v>
      </c>
      <c r="I4367" t="s">
        <v>22</v>
      </c>
      <c r="J4367" t="s">
        <v>22</v>
      </c>
    </row>
    <row r="4368" spans="1:10" x14ac:dyDescent="0.25">
      <c r="A4368" t="s">
        <v>2631</v>
      </c>
      <c r="B4368" t="s">
        <v>2632</v>
      </c>
      <c r="C4368">
        <v>0</v>
      </c>
      <c r="D4368">
        <v>0</v>
      </c>
      <c r="E4368">
        <v>0</v>
      </c>
      <c r="F4368">
        <v>0</v>
      </c>
      <c r="G4368">
        <v>0</v>
      </c>
      <c r="H4368">
        <v>0</v>
      </c>
      <c r="I4368" t="s">
        <v>22</v>
      </c>
      <c r="J4368" t="s">
        <v>22</v>
      </c>
    </row>
    <row r="4369" spans="1:10" x14ac:dyDescent="0.25">
      <c r="A4369" t="s">
        <v>2633</v>
      </c>
      <c r="B4369" t="s">
        <v>2634</v>
      </c>
      <c r="C4369">
        <v>0</v>
      </c>
      <c r="D4369">
        <v>0</v>
      </c>
      <c r="E4369">
        <v>0</v>
      </c>
      <c r="F4369">
        <v>0</v>
      </c>
      <c r="G4369">
        <v>0</v>
      </c>
      <c r="H4369">
        <v>0</v>
      </c>
      <c r="I4369" t="s">
        <v>22</v>
      </c>
      <c r="J4369" t="s">
        <v>22</v>
      </c>
    </row>
    <row r="4370" spans="1:10" x14ac:dyDescent="0.25">
      <c r="A4370" t="s">
        <v>2635</v>
      </c>
      <c r="B4370" t="s">
        <v>2636</v>
      </c>
      <c r="C4370">
        <v>0</v>
      </c>
      <c r="D4370">
        <v>0</v>
      </c>
      <c r="E4370">
        <v>0</v>
      </c>
      <c r="F4370">
        <v>0</v>
      </c>
      <c r="G4370">
        <v>0</v>
      </c>
      <c r="H4370">
        <v>0</v>
      </c>
      <c r="I4370" t="s">
        <v>22</v>
      </c>
      <c r="J4370" t="s">
        <v>22</v>
      </c>
    </row>
    <row r="4371" spans="1:10" x14ac:dyDescent="0.25">
      <c r="A4371" t="s">
        <v>2637</v>
      </c>
      <c r="B4371" t="s">
        <v>2638</v>
      </c>
      <c r="C4371">
        <v>0</v>
      </c>
      <c r="D4371">
        <v>0</v>
      </c>
      <c r="E4371">
        <v>0</v>
      </c>
      <c r="F4371">
        <v>0</v>
      </c>
      <c r="G4371">
        <v>0</v>
      </c>
      <c r="H4371">
        <v>0</v>
      </c>
      <c r="I4371" t="s">
        <v>22</v>
      </c>
      <c r="J4371" t="s">
        <v>22</v>
      </c>
    </row>
    <row r="4372" spans="1:10" x14ac:dyDescent="0.25">
      <c r="A4372" t="s">
        <v>2639</v>
      </c>
      <c r="B4372" t="s">
        <v>2640</v>
      </c>
      <c r="C4372" s="2">
        <v>1483</v>
      </c>
      <c r="D4372" s="2">
        <v>7714</v>
      </c>
      <c r="E4372">
        <v>0</v>
      </c>
      <c r="F4372">
        <v>0</v>
      </c>
      <c r="G4372">
        <v>0</v>
      </c>
      <c r="H4372">
        <v>0</v>
      </c>
      <c r="I4372" t="s">
        <v>22</v>
      </c>
      <c r="J4372" t="s">
        <v>22</v>
      </c>
    </row>
    <row r="4373" spans="1:10" x14ac:dyDescent="0.25">
      <c r="A4373" t="s">
        <v>2641</v>
      </c>
      <c r="B4373" t="s">
        <v>2642</v>
      </c>
      <c r="C4373">
        <v>0</v>
      </c>
      <c r="D4373">
        <v>0</v>
      </c>
      <c r="E4373">
        <v>0</v>
      </c>
      <c r="F4373">
        <v>0</v>
      </c>
      <c r="G4373">
        <v>0</v>
      </c>
      <c r="H4373">
        <v>0</v>
      </c>
      <c r="I4373" t="s">
        <v>22</v>
      </c>
      <c r="J4373" t="s">
        <v>22</v>
      </c>
    </row>
    <row r="4374" spans="1:10" x14ac:dyDescent="0.25">
      <c r="A4374" t="s">
        <v>2643</v>
      </c>
      <c r="B4374" t="s">
        <v>2644</v>
      </c>
      <c r="C4374">
        <v>0</v>
      </c>
      <c r="D4374">
        <v>0</v>
      </c>
      <c r="E4374">
        <v>0</v>
      </c>
      <c r="F4374">
        <v>0</v>
      </c>
      <c r="G4374">
        <v>0</v>
      </c>
      <c r="H4374">
        <v>0</v>
      </c>
      <c r="I4374" t="s">
        <v>22</v>
      </c>
      <c r="J4374" t="s">
        <v>22</v>
      </c>
    </row>
    <row r="4375" spans="1:10" x14ac:dyDescent="0.25">
      <c r="A4375" t="s">
        <v>2645</v>
      </c>
      <c r="B4375" t="s">
        <v>2646</v>
      </c>
      <c r="C4375">
        <v>218</v>
      </c>
      <c r="D4375" s="2">
        <v>1374</v>
      </c>
      <c r="E4375">
        <v>0</v>
      </c>
      <c r="F4375">
        <v>0</v>
      </c>
      <c r="G4375">
        <v>0</v>
      </c>
      <c r="H4375">
        <v>0</v>
      </c>
      <c r="I4375" t="s">
        <v>22</v>
      </c>
      <c r="J4375" t="s">
        <v>22</v>
      </c>
    </row>
    <row r="4376" spans="1:10" x14ac:dyDescent="0.25">
      <c r="A4376" t="s">
        <v>2647</v>
      </c>
      <c r="B4376" t="s">
        <v>2648</v>
      </c>
      <c r="C4376">
        <v>0</v>
      </c>
      <c r="D4376">
        <v>0</v>
      </c>
      <c r="E4376">
        <v>0</v>
      </c>
      <c r="F4376">
        <v>0</v>
      </c>
      <c r="G4376">
        <v>0</v>
      </c>
      <c r="H4376">
        <v>0</v>
      </c>
      <c r="I4376" t="s">
        <v>22</v>
      </c>
      <c r="J4376" t="s">
        <v>22</v>
      </c>
    </row>
    <row r="4377" spans="1:10" x14ac:dyDescent="0.25">
      <c r="A4377" t="s">
        <v>2649</v>
      </c>
      <c r="B4377" t="s">
        <v>2650</v>
      </c>
      <c r="C4377">
        <v>0</v>
      </c>
      <c r="D4377">
        <v>0</v>
      </c>
      <c r="E4377">
        <v>0</v>
      </c>
      <c r="F4377">
        <v>0</v>
      </c>
      <c r="G4377">
        <v>0</v>
      </c>
      <c r="H4377">
        <v>0</v>
      </c>
      <c r="I4377" t="s">
        <v>22</v>
      </c>
      <c r="J4377" t="s">
        <v>22</v>
      </c>
    </row>
    <row r="4378" spans="1:10" x14ac:dyDescent="0.25">
      <c r="A4378" t="s">
        <v>2651</v>
      </c>
      <c r="B4378" t="s">
        <v>2652</v>
      </c>
      <c r="C4378">
        <v>0</v>
      </c>
      <c r="D4378">
        <v>0</v>
      </c>
      <c r="E4378">
        <v>0</v>
      </c>
      <c r="F4378">
        <v>0</v>
      </c>
      <c r="G4378">
        <v>0</v>
      </c>
      <c r="H4378">
        <v>0</v>
      </c>
      <c r="I4378" t="s">
        <v>22</v>
      </c>
      <c r="J4378" t="s">
        <v>22</v>
      </c>
    </row>
    <row r="4379" spans="1:10" x14ac:dyDescent="0.25">
      <c r="A4379" t="s">
        <v>2653</v>
      </c>
      <c r="B4379" t="s">
        <v>2654</v>
      </c>
      <c r="C4379" s="2">
        <v>1553</v>
      </c>
      <c r="D4379" s="2">
        <v>24015</v>
      </c>
      <c r="E4379" s="2">
        <v>23611</v>
      </c>
      <c r="F4379">
        <v>0</v>
      </c>
      <c r="G4379">
        <v>0</v>
      </c>
      <c r="H4379">
        <v>0</v>
      </c>
      <c r="I4379" t="s">
        <v>22</v>
      </c>
      <c r="J4379" t="s">
        <v>22</v>
      </c>
    </row>
    <row r="4380" spans="1:10" x14ac:dyDescent="0.25">
      <c r="A4380" t="s">
        <v>2655</v>
      </c>
      <c r="B4380" t="s">
        <v>2656</v>
      </c>
      <c r="C4380" s="2">
        <v>4306</v>
      </c>
      <c r="D4380" s="2">
        <v>18865</v>
      </c>
      <c r="E4380">
        <v>0</v>
      </c>
      <c r="F4380">
        <v>0</v>
      </c>
      <c r="G4380">
        <v>0</v>
      </c>
      <c r="H4380">
        <v>0</v>
      </c>
      <c r="I4380" t="s">
        <v>22</v>
      </c>
      <c r="J4380" t="s">
        <v>22</v>
      </c>
    </row>
    <row r="4381" spans="1:10" x14ac:dyDescent="0.25">
      <c r="A4381" t="s">
        <v>2657</v>
      </c>
      <c r="B4381" t="s">
        <v>2658</v>
      </c>
      <c r="C4381">
        <v>0</v>
      </c>
      <c r="D4381">
        <v>0</v>
      </c>
      <c r="E4381">
        <v>0</v>
      </c>
      <c r="F4381">
        <v>0</v>
      </c>
      <c r="G4381">
        <v>0</v>
      </c>
      <c r="H4381">
        <v>0</v>
      </c>
      <c r="I4381" t="s">
        <v>22</v>
      </c>
      <c r="J4381" t="s">
        <v>22</v>
      </c>
    </row>
    <row r="4382" spans="1:10" x14ac:dyDescent="0.25">
      <c r="A4382" t="s">
        <v>2659</v>
      </c>
      <c r="B4382" t="s">
        <v>2660</v>
      </c>
      <c r="C4382">
        <v>0</v>
      </c>
      <c r="D4382">
        <v>0</v>
      </c>
      <c r="E4382">
        <v>0</v>
      </c>
      <c r="F4382">
        <v>0</v>
      </c>
      <c r="G4382">
        <v>0</v>
      </c>
      <c r="H4382">
        <v>0</v>
      </c>
      <c r="I4382" t="s">
        <v>22</v>
      </c>
      <c r="J4382" t="s">
        <v>22</v>
      </c>
    </row>
    <row r="4383" spans="1:10" x14ac:dyDescent="0.25">
      <c r="A4383" t="s">
        <v>2661</v>
      </c>
      <c r="B4383" t="s">
        <v>2662</v>
      </c>
      <c r="C4383">
        <v>0</v>
      </c>
      <c r="D4383">
        <v>0</v>
      </c>
      <c r="E4383">
        <v>0</v>
      </c>
      <c r="F4383">
        <v>0</v>
      </c>
      <c r="G4383">
        <v>0</v>
      </c>
      <c r="H4383">
        <v>0</v>
      </c>
      <c r="I4383" t="s">
        <v>22</v>
      </c>
      <c r="J4383" t="s">
        <v>22</v>
      </c>
    </row>
    <row r="4384" spans="1:10" x14ac:dyDescent="0.25">
      <c r="A4384" t="s">
        <v>2663</v>
      </c>
      <c r="B4384" t="s">
        <v>2664</v>
      </c>
      <c r="C4384">
        <v>0</v>
      </c>
      <c r="D4384">
        <v>0</v>
      </c>
      <c r="E4384">
        <v>0</v>
      </c>
      <c r="F4384">
        <v>0</v>
      </c>
      <c r="G4384">
        <v>0</v>
      </c>
      <c r="H4384">
        <v>0</v>
      </c>
      <c r="I4384" t="s">
        <v>22</v>
      </c>
      <c r="J4384" t="s">
        <v>22</v>
      </c>
    </row>
    <row r="4385" spans="1:10" x14ac:dyDescent="0.25">
      <c r="A4385" t="s">
        <v>2665</v>
      </c>
      <c r="B4385" t="s">
        <v>2666</v>
      </c>
      <c r="C4385">
        <v>0</v>
      </c>
      <c r="D4385">
        <v>0</v>
      </c>
      <c r="E4385">
        <v>0</v>
      </c>
      <c r="F4385">
        <v>0</v>
      </c>
      <c r="G4385">
        <v>0</v>
      </c>
      <c r="H4385">
        <v>0</v>
      </c>
      <c r="I4385" t="s">
        <v>22</v>
      </c>
      <c r="J4385" t="s">
        <v>22</v>
      </c>
    </row>
    <row r="4386" spans="1:10" x14ac:dyDescent="0.25">
      <c r="A4386" t="s">
        <v>2667</v>
      </c>
      <c r="B4386" t="s">
        <v>2668</v>
      </c>
      <c r="C4386">
        <v>0</v>
      </c>
      <c r="D4386">
        <v>0</v>
      </c>
      <c r="E4386">
        <v>0</v>
      </c>
      <c r="F4386">
        <v>0</v>
      </c>
      <c r="G4386">
        <v>0</v>
      </c>
      <c r="H4386">
        <v>0</v>
      </c>
      <c r="I4386" t="s">
        <v>22</v>
      </c>
      <c r="J4386" t="s">
        <v>22</v>
      </c>
    </row>
    <row r="4387" spans="1:10" x14ac:dyDescent="0.25">
      <c r="A4387" t="s">
        <v>2005</v>
      </c>
      <c r="B4387" t="s">
        <v>2669</v>
      </c>
      <c r="C4387">
        <v>299</v>
      </c>
      <c r="D4387">
        <v>0</v>
      </c>
      <c r="E4387">
        <v>0</v>
      </c>
      <c r="F4387">
        <v>0</v>
      </c>
      <c r="G4387">
        <v>0</v>
      </c>
      <c r="H4387">
        <v>0</v>
      </c>
      <c r="I4387" t="s">
        <v>22</v>
      </c>
      <c r="J4387" t="s">
        <v>22</v>
      </c>
    </row>
    <row r="4388" spans="1:10" x14ac:dyDescent="0.25">
      <c r="A4388" t="s">
        <v>2670</v>
      </c>
      <c r="B4388" t="s">
        <v>2671</v>
      </c>
      <c r="C4388">
        <v>497</v>
      </c>
      <c r="D4388">
        <v>0</v>
      </c>
      <c r="E4388">
        <v>0</v>
      </c>
      <c r="F4388">
        <v>0</v>
      </c>
      <c r="G4388">
        <v>0</v>
      </c>
      <c r="H4388">
        <v>0</v>
      </c>
      <c r="I4388" t="s">
        <v>22</v>
      </c>
      <c r="J4388" t="s">
        <v>22</v>
      </c>
    </row>
    <row r="4389" spans="1:10" x14ac:dyDescent="0.25">
      <c r="A4389" t="s">
        <v>2672</v>
      </c>
      <c r="B4389" t="s">
        <v>2673</v>
      </c>
      <c r="C4389">
        <v>0</v>
      </c>
      <c r="D4389">
        <v>0</v>
      </c>
      <c r="E4389">
        <v>0</v>
      </c>
      <c r="F4389">
        <v>0</v>
      </c>
      <c r="G4389">
        <v>0</v>
      </c>
      <c r="H4389">
        <v>0</v>
      </c>
      <c r="I4389" t="s">
        <v>22</v>
      </c>
      <c r="J4389" t="s">
        <v>22</v>
      </c>
    </row>
    <row r="4390" spans="1:10" x14ac:dyDescent="0.25">
      <c r="A4390" t="s">
        <v>2674</v>
      </c>
      <c r="B4390" t="s">
        <v>2675</v>
      </c>
      <c r="C4390">
        <v>0</v>
      </c>
      <c r="D4390">
        <v>0</v>
      </c>
      <c r="E4390">
        <v>0</v>
      </c>
      <c r="F4390">
        <v>0</v>
      </c>
      <c r="G4390">
        <v>0</v>
      </c>
      <c r="H4390">
        <v>0</v>
      </c>
      <c r="I4390" t="s">
        <v>22</v>
      </c>
      <c r="J4390" t="s">
        <v>22</v>
      </c>
    </row>
    <row r="4391" spans="1:10" x14ac:dyDescent="0.25">
      <c r="A4391" t="s">
        <v>2676</v>
      </c>
      <c r="B4391" t="s">
        <v>2677</v>
      </c>
      <c r="C4391">
        <v>0</v>
      </c>
      <c r="D4391">
        <v>0</v>
      </c>
      <c r="E4391">
        <v>0</v>
      </c>
      <c r="F4391">
        <v>0</v>
      </c>
      <c r="G4391">
        <v>0</v>
      </c>
      <c r="H4391">
        <v>0</v>
      </c>
      <c r="I4391" t="s">
        <v>22</v>
      </c>
      <c r="J4391" t="s">
        <v>22</v>
      </c>
    </row>
    <row r="4392" spans="1:10" x14ac:dyDescent="0.25">
      <c r="A4392" t="s">
        <v>2678</v>
      </c>
      <c r="B4392" t="s">
        <v>2679</v>
      </c>
      <c r="C4392">
        <v>158</v>
      </c>
      <c r="D4392">
        <v>0</v>
      </c>
      <c r="E4392">
        <v>0</v>
      </c>
      <c r="F4392">
        <v>0</v>
      </c>
      <c r="G4392">
        <v>0</v>
      </c>
      <c r="H4392">
        <v>0</v>
      </c>
      <c r="I4392" t="s">
        <v>22</v>
      </c>
      <c r="J4392" t="s">
        <v>22</v>
      </c>
    </row>
    <row r="4393" spans="1:10" x14ac:dyDescent="0.25">
      <c r="A4393" t="s">
        <v>2680</v>
      </c>
      <c r="B4393" t="s">
        <v>2681</v>
      </c>
      <c r="C4393">
        <v>0</v>
      </c>
      <c r="D4393">
        <v>0</v>
      </c>
      <c r="E4393">
        <v>0</v>
      </c>
      <c r="F4393">
        <v>0</v>
      </c>
      <c r="G4393">
        <v>0</v>
      </c>
      <c r="H4393">
        <v>0</v>
      </c>
      <c r="I4393" t="s">
        <v>22</v>
      </c>
      <c r="J4393" t="s">
        <v>22</v>
      </c>
    </row>
    <row r="4394" spans="1:10" x14ac:dyDescent="0.25">
      <c r="A4394" t="s">
        <v>2682</v>
      </c>
      <c r="B4394" t="s">
        <v>1921</v>
      </c>
      <c r="C4394">
        <v>32</v>
      </c>
      <c r="D4394">
        <v>384</v>
      </c>
      <c r="E4394">
        <v>0</v>
      </c>
      <c r="F4394">
        <v>0</v>
      </c>
      <c r="G4394">
        <v>0</v>
      </c>
      <c r="H4394">
        <v>0</v>
      </c>
      <c r="I4394" t="s">
        <v>22</v>
      </c>
      <c r="J4394" t="s">
        <v>22</v>
      </c>
    </row>
    <row r="4395" spans="1:10" x14ac:dyDescent="0.25">
      <c r="A4395" t="s">
        <v>2683</v>
      </c>
      <c r="B4395" t="s">
        <v>2684</v>
      </c>
      <c r="C4395" s="2">
        <v>3890</v>
      </c>
      <c r="D4395">
        <v>0</v>
      </c>
      <c r="E4395">
        <v>0</v>
      </c>
      <c r="F4395">
        <v>0</v>
      </c>
      <c r="G4395">
        <v>0</v>
      </c>
      <c r="H4395">
        <v>0</v>
      </c>
      <c r="I4395" t="s">
        <v>22</v>
      </c>
      <c r="J4395" t="s">
        <v>22</v>
      </c>
    </row>
    <row r="4396" spans="1:10" x14ac:dyDescent="0.25">
      <c r="A4396" t="s">
        <v>2685</v>
      </c>
      <c r="B4396" t="s">
        <v>2686</v>
      </c>
      <c r="C4396">
        <v>0</v>
      </c>
      <c r="D4396">
        <v>0</v>
      </c>
      <c r="E4396">
        <v>0</v>
      </c>
      <c r="F4396">
        <v>0</v>
      </c>
      <c r="G4396">
        <v>0</v>
      </c>
      <c r="H4396">
        <v>0</v>
      </c>
      <c r="I4396" t="s">
        <v>22</v>
      </c>
      <c r="J4396" t="s">
        <v>22</v>
      </c>
    </row>
    <row r="4397" spans="1:10" x14ac:dyDescent="0.25">
      <c r="A4397" t="s">
        <v>2687</v>
      </c>
      <c r="B4397" t="s">
        <v>2688</v>
      </c>
      <c r="C4397">
        <v>0</v>
      </c>
      <c r="D4397">
        <v>0</v>
      </c>
      <c r="E4397">
        <v>0</v>
      </c>
      <c r="F4397">
        <v>0</v>
      </c>
      <c r="G4397">
        <v>0</v>
      </c>
      <c r="H4397">
        <v>0</v>
      </c>
      <c r="I4397" t="s">
        <v>22</v>
      </c>
      <c r="J4397" t="s">
        <v>22</v>
      </c>
    </row>
    <row r="4398" spans="1:10" x14ac:dyDescent="0.25">
      <c r="A4398" t="s">
        <v>2689</v>
      </c>
      <c r="B4398" t="s">
        <v>2690</v>
      </c>
      <c r="C4398">
        <v>0</v>
      </c>
      <c r="D4398">
        <v>0</v>
      </c>
      <c r="E4398">
        <v>0</v>
      </c>
      <c r="F4398">
        <v>0</v>
      </c>
      <c r="G4398">
        <v>0</v>
      </c>
      <c r="H4398">
        <v>0</v>
      </c>
      <c r="I4398" t="s">
        <v>22</v>
      </c>
      <c r="J4398" t="s">
        <v>22</v>
      </c>
    </row>
    <row r="4399" spans="1:10" x14ac:dyDescent="0.25">
      <c r="A4399" t="s">
        <v>2691</v>
      </c>
      <c r="B4399" t="s">
        <v>2692</v>
      </c>
      <c r="C4399">
        <v>28</v>
      </c>
      <c r="D4399">
        <v>0</v>
      </c>
      <c r="E4399">
        <v>0</v>
      </c>
      <c r="F4399">
        <v>0</v>
      </c>
      <c r="G4399">
        <v>0</v>
      </c>
      <c r="H4399">
        <v>0</v>
      </c>
      <c r="I4399" t="s">
        <v>22</v>
      </c>
      <c r="J4399" t="s">
        <v>22</v>
      </c>
    </row>
    <row r="4400" spans="1:10" x14ac:dyDescent="0.25">
      <c r="A4400" t="s">
        <v>2693</v>
      </c>
      <c r="B4400" t="s">
        <v>2694</v>
      </c>
      <c r="C4400">
        <v>0</v>
      </c>
      <c r="D4400">
        <v>0</v>
      </c>
      <c r="E4400">
        <v>0</v>
      </c>
      <c r="F4400">
        <v>0</v>
      </c>
      <c r="G4400">
        <v>0</v>
      </c>
      <c r="H4400">
        <v>0</v>
      </c>
      <c r="I4400" t="s">
        <v>22</v>
      </c>
      <c r="J4400" t="s">
        <v>22</v>
      </c>
    </row>
    <row r="4401" spans="1:10" x14ac:dyDescent="0.25">
      <c r="A4401" t="s">
        <v>2695</v>
      </c>
      <c r="B4401" t="s">
        <v>2696</v>
      </c>
      <c r="C4401">
        <v>0</v>
      </c>
      <c r="D4401">
        <v>0</v>
      </c>
      <c r="E4401">
        <v>0</v>
      </c>
      <c r="F4401">
        <v>0</v>
      </c>
      <c r="G4401">
        <v>0</v>
      </c>
      <c r="H4401">
        <v>0</v>
      </c>
      <c r="I4401" t="s">
        <v>22</v>
      </c>
      <c r="J4401" t="s">
        <v>22</v>
      </c>
    </row>
    <row r="4402" spans="1:10" x14ac:dyDescent="0.25">
      <c r="A4402" t="s">
        <v>2697</v>
      </c>
      <c r="B4402" t="s">
        <v>2698</v>
      </c>
      <c r="C4402">
        <v>4</v>
      </c>
      <c r="D4402">
        <v>0</v>
      </c>
      <c r="E4402">
        <v>0</v>
      </c>
      <c r="F4402">
        <v>0</v>
      </c>
      <c r="G4402">
        <v>0</v>
      </c>
      <c r="H4402">
        <v>0</v>
      </c>
      <c r="I4402" t="s">
        <v>22</v>
      </c>
      <c r="J4402" t="s">
        <v>22</v>
      </c>
    </row>
    <row r="4403" spans="1:10" x14ac:dyDescent="0.25">
      <c r="A4403" t="s">
        <v>2699</v>
      </c>
      <c r="B4403" t="s">
        <v>2700</v>
      </c>
      <c r="C4403">
        <v>0</v>
      </c>
      <c r="D4403">
        <v>0</v>
      </c>
      <c r="E4403">
        <v>0</v>
      </c>
      <c r="F4403">
        <v>0</v>
      </c>
      <c r="G4403">
        <v>0</v>
      </c>
      <c r="H4403">
        <v>0</v>
      </c>
      <c r="I4403" t="s">
        <v>22</v>
      </c>
      <c r="J4403" t="s">
        <v>22</v>
      </c>
    </row>
    <row r="4404" spans="1:10" x14ac:dyDescent="0.25">
      <c r="A4404" t="s">
        <v>2701</v>
      </c>
      <c r="B4404" t="s">
        <v>2702</v>
      </c>
      <c r="C4404" s="2">
        <v>1592</v>
      </c>
      <c r="D4404">
        <v>0</v>
      </c>
      <c r="E4404">
        <v>0</v>
      </c>
      <c r="F4404">
        <v>0</v>
      </c>
      <c r="G4404">
        <v>0</v>
      </c>
      <c r="H4404">
        <v>0</v>
      </c>
      <c r="I4404" t="s">
        <v>22</v>
      </c>
      <c r="J4404" t="s">
        <v>22</v>
      </c>
    </row>
    <row r="4405" spans="1:10" x14ac:dyDescent="0.25">
      <c r="A4405" t="s">
        <v>2703</v>
      </c>
      <c r="B4405" t="s">
        <v>2704</v>
      </c>
      <c r="C4405" s="2">
        <v>1412</v>
      </c>
      <c r="D4405" s="2">
        <v>2224</v>
      </c>
      <c r="E4405">
        <v>0</v>
      </c>
      <c r="F4405">
        <v>0</v>
      </c>
      <c r="G4405">
        <v>0</v>
      </c>
      <c r="H4405">
        <v>0</v>
      </c>
      <c r="I4405" t="s">
        <v>22</v>
      </c>
      <c r="J4405" t="s">
        <v>22</v>
      </c>
    </row>
    <row r="4406" spans="1:10" x14ac:dyDescent="0.25">
      <c r="A4406" t="s">
        <v>2705</v>
      </c>
      <c r="B4406" t="s">
        <v>2706</v>
      </c>
      <c r="C4406" s="2">
        <v>1362</v>
      </c>
      <c r="D4406" s="2">
        <v>2604</v>
      </c>
      <c r="E4406">
        <v>0</v>
      </c>
      <c r="F4406">
        <v>0</v>
      </c>
      <c r="G4406">
        <v>0</v>
      </c>
      <c r="H4406">
        <v>0</v>
      </c>
      <c r="I4406" t="s">
        <v>22</v>
      </c>
      <c r="J4406" t="s">
        <v>22</v>
      </c>
    </row>
    <row r="4407" spans="1:10" x14ac:dyDescent="0.25">
      <c r="A4407" t="s">
        <v>110</v>
      </c>
    </row>
    <row r="4408" spans="1:10" x14ac:dyDescent="0.25">
      <c r="A4408" s="1">
        <v>43991</v>
      </c>
      <c r="B4408" t="s">
        <v>1615</v>
      </c>
      <c r="D4408" t="s">
        <v>112</v>
      </c>
      <c r="E4408" t="s">
        <v>113</v>
      </c>
      <c r="F4408" t="s">
        <v>114</v>
      </c>
      <c r="J4408" t="s">
        <v>115</v>
      </c>
    </row>
    <row r="4409" spans="1:10" x14ac:dyDescent="0.25">
      <c r="D4409" t="s">
        <v>116</v>
      </c>
      <c r="E4409" t="s">
        <v>117</v>
      </c>
      <c r="F4409" t="s">
        <v>118</v>
      </c>
    </row>
    <row r="4410" spans="1:10" x14ac:dyDescent="0.25">
      <c r="D4410" t="s">
        <v>119</v>
      </c>
      <c r="E4410" t="s">
        <v>120</v>
      </c>
      <c r="F4410" t="s">
        <v>121</v>
      </c>
    </row>
    <row r="4411" spans="1:10" x14ac:dyDescent="0.25">
      <c r="A4411" t="s">
        <v>2612</v>
      </c>
      <c r="B4411" t="s">
        <v>2613</v>
      </c>
    </row>
    <row r="4412" spans="1:10" x14ac:dyDescent="0.25">
      <c r="A4412" t="s">
        <v>1</v>
      </c>
    </row>
    <row r="4413" spans="1:10" x14ac:dyDescent="0.25">
      <c r="F4413" t="s">
        <v>2</v>
      </c>
      <c r="G4413" t="s">
        <v>3</v>
      </c>
      <c r="H4413" t="s">
        <v>4</v>
      </c>
      <c r="I4413" t="s">
        <v>5</v>
      </c>
      <c r="J4413" t="s">
        <v>6</v>
      </c>
    </row>
    <row r="4414" spans="1:10" x14ac:dyDescent="0.25">
      <c r="C4414" t="s">
        <v>7</v>
      </c>
      <c r="D4414" t="s">
        <v>8</v>
      </c>
      <c r="E4414" t="s">
        <v>9</v>
      </c>
      <c r="F4414" t="s">
        <v>10</v>
      </c>
      <c r="G4414" t="s">
        <v>124</v>
      </c>
      <c r="H4414" t="s">
        <v>12</v>
      </c>
      <c r="I4414" t="s">
        <v>13</v>
      </c>
      <c r="J4414" t="s">
        <v>14</v>
      </c>
    </row>
    <row r="4415" spans="1:10" x14ac:dyDescent="0.25">
      <c r="C4415" t="s">
        <v>15</v>
      </c>
      <c r="D4415" t="s">
        <v>15</v>
      </c>
      <c r="E4415" t="s">
        <v>15</v>
      </c>
      <c r="F4415" t="s">
        <v>16</v>
      </c>
      <c r="G4415" t="s">
        <v>15</v>
      </c>
      <c r="H4415" t="s">
        <v>17</v>
      </c>
      <c r="I4415" t="s">
        <v>16</v>
      </c>
      <c r="J4415" t="s">
        <v>16</v>
      </c>
    </row>
    <row r="4416" spans="1:10" x14ac:dyDescent="0.25">
      <c r="A4416" t="s">
        <v>18</v>
      </c>
      <c r="B4416" t="s">
        <v>19</v>
      </c>
      <c r="C4416" t="s">
        <v>20</v>
      </c>
      <c r="D4416" t="s">
        <v>21</v>
      </c>
      <c r="E4416" t="s">
        <v>22</v>
      </c>
      <c r="F4416" t="s">
        <v>23</v>
      </c>
      <c r="G4416" t="s">
        <v>24</v>
      </c>
      <c r="H4416" t="s">
        <v>20</v>
      </c>
      <c r="I4416" t="s">
        <v>24</v>
      </c>
      <c r="J4416" t="s">
        <v>20</v>
      </c>
    </row>
    <row r="4417" spans="1:10" x14ac:dyDescent="0.25">
      <c r="A4417" t="s">
        <v>2707</v>
      </c>
      <c r="B4417" t="s">
        <v>2708</v>
      </c>
      <c r="C4417">
        <v>274</v>
      </c>
      <c r="D4417">
        <v>0</v>
      </c>
      <c r="E4417">
        <v>0</v>
      </c>
      <c r="F4417">
        <v>0</v>
      </c>
      <c r="G4417">
        <v>0</v>
      </c>
      <c r="H4417">
        <v>0</v>
      </c>
      <c r="I4417" t="s">
        <v>22</v>
      </c>
      <c r="J4417" t="s">
        <v>22</v>
      </c>
    </row>
    <row r="4418" spans="1:10" x14ac:dyDescent="0.25">
      <c r="A4418" t="s">
        <v>2709</v>
      </c>
      <c r="B4418" t="s">
        <v>44</v>
      </c>
      <c r="C4418" s="2">
        <v>3554</v>
      </c>
      <c r="D4418">
        <v>0</v>
      </c>
      <c r="E4418">
        <v>0</v>
      </c>
      <c r="F4418">
        <v>0</v>
      </c>
      <c r="G4418">
        <v>0</v>
      </c>
      <c r="H4418">
        <v>0</v>
      </c>
      <c r="I4418" t="s">
        <v>22</v>
      </c>
      <c r="J4418" t="s">
        <v>22</v>
      </c>
    </row>
    <row r="4419" spans="1:10" x14ac:dyDescent="0.25">
      <c r="A4419" t="s">
        <v>2710</v>
      </c>
      <c r="B4419" t="s">
        <v>64</v>
      </c>
      <c r="C4419">
        <v>0</v>
      </c>
      <c r="D4419">
        <v>0</v>
      </c>
      <c r="E4419">
        <v>0</v>
      </c>
      <c r="F4419">
        <v>0</v>
      </c>
      <c r="G4419">
        <v>0</v>
      </c>
      <c r="H4419">
        <v>0</v>
      </c>
      <c r="I4419" t="s">
        <v>22</v>
      </c>
      <c r="J4419" t="s">
        <v>22</v>
      </c>
    </row>
    <row r="4420" spans="1:10" x14ac:dyDescent="0.25">
      <c r="A4420" t="s">
        <v>2711</v>
      </c>
      <c r="B4420" t="s">
        <v>1917</v>
      </c>
      <c r="C4420">
        <v>0</v>
      </c>
      <c r="D4420">
        <v>0</v>
      </c>
      <c r="E4420">
        <v>0</v>
      </c>
      <c r="F4420">
        <v>0</v>
      </c>
      <c r="G4420">
        <v>0</v>
      </c>
      <c r="H4420">
        <v>0</v>
      </c>
      <c r="I4420" t="s">
        <v>22</v>
      </c>
      <c r="J4420" t="s">
        <v>22</v>
      </c>
    </row>
    <row r="4421" spans="1:10" x14ac:dyDescent="0.25">
      <c r="A4421" t="s">
        <v>2712</v>
      </c>
      <c r="B4421" t="s">
        <v>2713</v>
      </c>
      <c r="C4421">
        <v>0</v>
      </c>
      <c r="D4421">
        <v>0</v>
      </c>
      <c r="E4421">
        <v>0</v>
      </c>
      <c r="F4421">
        <v>0</v>
      </c>
      <c r="G4421">
        <v>0</v>
      </c>
      <c r="H4421">
        <v>0</v>
      </c>
      <c r="I4421" t="s">
        <v>22</v>
      </c>
      <c r="J4421" t="s">
        <v>22</v>
      </c>
    </row>
    <row r="4422" spans="1:10" x14ac:dyDescent="0.25">
      <c r="A4422" t="s">
        <v>2714</v>
      </c>
      <c r="B4422" t="s">
        <v>2715</v>
      </c>
      <c r="C4422">
        <v>0</v>
      </c>
      <c r="D4422">
        <v>0</v>
      </c>
      <c r="E4422" s="2">
        <v>857312</v>
      </c>
      <c r="F4422">
        <v>0</v>
      </c>
      <c r="G4422" s="2">
        <v>703117</v>
      </c>
      <c r="H4422">
        <v>0</v>
      </c>
      <c r="I4422" t="s">
        <v>22</v>
      </c>
      <c r="J4422" t="s">
        <v>22</v>
      </c>
    </row>
    <row r="4423" spans="1:10" x14ac:dyDescent="0.25">
      <c r="A4423" t="s">
        <v>2716</v>
      </c>
      <c r="B4423" t="s">
        <v>2717</v>
      </c>
      <c r="C4423">
        <v>0</v>
      </c>
      <c r="D4423">
        <v>0</v>
      </c>
      <c r="E4423">
        <v>0</v>
      </c>
      <c r="F4423">
        <v>0</v>
      </c>
      <c r="G4423">
        <v>0</v>
      </c>
      <c r="H4423">
        <v>0</v>
      </c>
      <c r="I4423" t="s">
        <v>22</v>
      </c>
      <c r="J4423" t="s">
        <v>22</v>
      </c>
    </row>
    <row r="4424" spans="1:10" x14ac:dyDescent="0.25">
      <c r="A4424" t="s">
        <v>2718</v>
      </c>
      <c r="B4424" t="s">
        <v>2719</v>
      </c>
      <c r="C4424">
        <v>0</v>
      </c>
      <c r="D4424">
        <v>0</v>
      </c>
      <c r="E4424">
        <v>0</v>
      </c>
      <c r="F4424">
        <v>0</v>
      </c>
      <c r="G4424">
        <v>0</v>
      </c>
      <c r="H4424">
        <v>0</v>
      </c>
      <c r="I4424" t="s">
        <v>22</v>
      </c>
      <c r="J4424" t="s">
        <v>22</v>
      </c>
    </row>
    <row r="4425" spans="1:10" x14ac:dyDescent="0.25">
      <c r="A4425" t="s">
        <v>2720</v>
      </c>
      <c r="B4425" t="s">
        <v>2721</v>
      </c>
      <c r="C4425">
        <v>0</v>
      </c>
      <c r="D4425">
        <v>0</v>
      </c>
      <c r="E4425">
        <v>0</v>
      </c>
      <c r="F4425">
        <v>0</v>
      </c>
      <c r="G4425">
        <v>0</v>
      </c>
      <c r="H4425">
        <v>0</v>
      </c>
      <c r="I4425" t="s">
        <v>22</v>
      </c>
      <c r="J4425" t="s">
        <v>22</v>
      </c>
    </row>
    <row r="4426" spans="1:10" x14ac:dyDescent="0.25">
      <c r="A4426" t="s">
        <v>2722</v>
      </c>
      <c r="B4426" t="s">
        <v>2723</v>
      </c>
      <c r="C4426">
        <v>0</v>
      </c>
      <c r="D4426">
        <v>0</v>
      </c>
      <c r="E4426">
        <v>0</v>
      </c>
      <c r="F4426">
        <v>0</v>
      </c>
      <c r="G4426">
        <v>0</v>
      </c>
      <c r="H4426">
        <v>0</v>
      </c>
      <c r="I4426" t="s">
        <v>22</v>
      </c>
      <c r="J4426" t="s">
        <v>22</v>
      </c>
    </row>
    <row r="4427" spans="1:10" x14ac:dyDescent="0.25">
      <c r="A4427" t="s">
        <v>2724</v>
      </c>
      <c r="B4427" t="s">
        <v>2725</v>
      </c>
      <c r="C4427">
        <v>0</v>
      </c>
      <c r="D4427">
        <v>0</v>
      </c>
      <c r="E4427">
        <v>0</v>
      </c>
      <c r="F4427">
        <v>0</v>
      </c>
      <c r="G4427">
        <v>0</v>
      </c>
      <c r="H4427">
        <v>0</v>
      </c>
      <c r="I4427" t="s">
        <v>22</v>
      </c>
      <c r="J4427" t="s">
        <v>22</v>
      </c>
    </row>
    <row r="4428" spans="1:10" x14ac:dyDescent="0.25">
      <c r="A4428" t="s">
        <v>2726</v>
      </c>
      <c r="B4428" t="s">
        <v>2727</v>
      </c>
      <c r="C4428">
        <v>0</v>
      </c>
      <c r="D4428">
        <v>0</v>
      </c>
      <c r="E4428">
        <v>0</v>
      </c>
      <c r="F4428">
        <v>0</v>
      </c>
      <c r="G4428">
        <v>0</v>
      </c>
      <c r="H4428">
        <v>0</v>
      </c>
      <c r="I4428" t="s">
        <v>22</v>
      </c>
      <c r="J4428" t="s">
        <v>22</v>
      </c>
    </row>
    <row r="4429" spans="1:10" x14ac:dyDescent="0.25">
      <c r="A4429" t="s">
        <v>2728</v>
      </c>
      <c r="B4429" t="s">
        <v>89</v>
      </c>
      <c r="C4429">
        <v>0</v>
      </c>
      <c r="D4429">
        <v>0</v>
      </c>
      <c r="E4429">
        <v>0</v>
      </c>
      <c r="F4429">
        <v>0</v>
      </c>
      <c r="G4429">
        <v>0</v>
      </c>
      <c r="H4429">
        <v>0</v>
      </c>
      <c r="I4429" t="s">
        <v>22</v>
      </c>
      <c r="J4429" t="s">
        <v>22</v>
      </c>
    </row>
    <row r="4430" spans="1:10" x14ac:dyDescent="0.25">
      <c r="A4430" t="s">
        <v>2729</v>
      </c>
      <c r="B4430" t="s">
        <v>2730</v>
      </c>
      <c r="C4430">
        <v>0</v>
      </c>
      <c r="D4430">
        <v>0</v>
      </c>
      <c r="E4430">
        <v>0</v>
      </c>
      <c r="F4430">
        <v>0</v>
      </c>
      <c r="G4430">
        <v>0</v>
      </c>
      <c r="H4430">
        <v>0</v>
      </c>
      <c r="I4430" t="s">
        <v>22</v>
      </c>
      <c r="J4430" t="s">
        <v>22</v>
      </c>
    </row>
    <row r="4431" spans="1:10" x14ac:dyDescent="0.25">
      <c r="A4431" t="s">
        <v>2731</v>
      </c>
      <c r="B4431" t="s">
        <v>2732</v>
      </c>
      <c r="C4431">
        <v>0</v>
      </c>
      <c r="D4431">
        <v>0</v>
      </c>
      <c r="E4431">
        <v>0</v>
      </c>
      <c r="F4431">
        <v>0</v>
      </c>
      <c r="G4431">
        <v>0</v>
      </c>
      <c r="H4431">
        <v>0</v>
      </c>
      <c r="I4431" t="s">
        <v>22</v>
      </c>
      <c r="J4431" t="s">
        <v>22</v>
      </c>
    </row>
    <row r="4432" spans="1:10" x14ac:dyDescent="0.25">
      <c r="A4432" t="s">
        <v>2733</v>
      </c>
      <c r="B4432" t="s">
        <v>2734</v>
      </c>
      <c r="C4432">
        <v>0</v>
      </c>
      <c r="D4432">
        <v>0</v>
      </c>
      <c r="E4432">
        <v>0</v>
      </c>
      <c r="F4432">
        <v>0</v>
      </c>
      <c r="G4432">
        <v>0</v>
      </c>
      <c r="H4432">
        <v>0</v>
      </c>
      <c r="I4432" t="s">
        <v>22</v>
      </c>
      <c r="J4432" t="s">
        <v>22</v>
      </c>
    </row>
    <row r="4433" spans="1:10" x14ac:dyDescent="0.25">
      <c r="A4433" t="s">
        <v>2735</v>
      </c>
      <c r="B4433" t="s">
        <v>2736</v>
      </c>
      <c r="C4433">
        <v>0</v>
      </c>
      <c r="D4433">
        <v>0</v>
      </c>
      <c r="E4433">
        <v>0</v>
      </c>
      <c r="F4433">
        <v>0</v>
      </c>
      <c r="G4433">
        <v>0</v>
      </c>
      <c r="H4433">
        <v>0</v>
      </c>
      <c r="I4433" t="s">
        <v>22</v>
      </c>
      <c r="J4433" t="s">
        <v>22</v>
      </c>
    </row>
    <row r="4434" spans="1:10" x14ac:dyDescent="0.25">
      <c r="A4434" t="s">
        <v>2737</v>
      </c>
      <c r="B4434" t="s">
        <v>2738</v>
      </c>
      <c r="C4434">
        <v>0</v>
      </c>
      <c r="D4434">
        <v>0</v>
      </c>
      <c r="E4434">
        <v>0</v>
      </c>
      <c r="F4434">
        <v>0</v>
      </c>
      <c r="G4434">
        <v>0</v>
      </c>
      <c r="H4434">
        <v>0</v>
      </c>
      <c r="I4434" t="s">
        <v>22</v>
      </c>
      <c r="J4434" t="s">
        <v>22</v>
      </c>
    </row>
    <row r="4435" spans="1:10" x14ac:dyDescent="0.25">
      <c r="A4435" t="s">
        <v>2739</v>
      </c>
      <c r="B4435" t="s">
        <v>2740</v>
      </c>
      <c r="C4435">
        <v>0</v>
      </c>
      <c r="D4435">
        <v>0</v>
      </c>
      <c r="E4435">
        <v>0</v>
      </c>
      <c r="F4435">
        <v>0</v>
      </c>
      <c r="G4435">
        <v>0</v>
      </c>
      <c r="H4435">
        <v>0</v>
      </c>
      <c r="I4435" t="s">
        <v>22</v>
      </c>
      <c r="J4435" t="s">
        <v>22</v>
      </c>
    </row>
    <row r="4436" spans="1:10" x14ac:dyDescent="0.25">
      <c r="A4436" t="s">
        <v>2741</v>
      </c>
      <c r="B4436" t="s">
        <v>2742</v>
      </c>
      <c r="C4436">
        <v>0</v>
      </c>
      <c r="D4436">
        <v>0</v>
      </c>
      <c r="E4436">
        <v>0</v>
      </c>
      <c r="F4436">
        <v>0</v>
      </c>
      <c r="G4436">
        <v>0</v>
      </c>
      <c r="H4436">
        <v>0</v>
      </c>
      <c r="I4436" t="s">
        <v>22</v>
      </c>
      <c r="J4436" t="s">
        <v>22</v>
      </c>
    </row>
    <row r="4437" spans="1:10" x14ac:dyDescent="0.25">
      <c r="A4437" t="s">
        <v>2743</v>
      </c>
      <c r="B4437" t="s">
        <v>2744</v>
      </c>
      <c r="C4437">
        <v>0</v>
      </c>
      <c r="D4437">
        <v>0</v>
      </c>
      <c r="E4437">
        <v>0</v>
      </c>
      <c r="F4437">
        <v>0</v>
      </c>
      <c r="G4437">
        <v>0</v>
      </c>
      <c r="H4437">
        <v>0</v>
      </c>
      <c r="I4437" t="s">
        <v>22</v>
      </c>
      <c r="J4437" t="s">
        <v>22</v>
      </c>
    </row>
    <row r="4438" spans="1:10" x14ac:dyDescent="0.25">
      <c r="A4438" t="s">
        <v>2745</v>
      </c>
      <c r="B4438" t="s">
        <v>2746</v>
      </c>
      <c r="C4438">
        <v>0</v>
      </c>
      <c r="D4438">
        <v>0</v>
      </c>
      <c r="E4438">
        <v>0</v>
      </c>
      <c r="F4438">
        <v>0</v>
      </c>
      <c r="G4438">
        <v>0</v>
      </c>
      <c r="H4438">
        <v>0</v>
      </c>
      <c r="I4438" t="s">
        <v>22</v>
      </c>
      <c r="J4438" t="s">
        <v>22</v>
      </c>
    </row>
    <row r="4439" spans="1:10" x14ac:dyDescent="0.25">
      <c r="A4439" t="s">
        <v>2747</v>
      </c>
      <c r="B4439" t="s">
        <v>2748</v>
      </c>
      <c r="C4439">
        <v>0</v>
      </c>
      <c r="D4439">
        <v>0</v>
      </c>
      <c r="E4439">
        <v>0</v>
      </c>
      <c r="F4439">
        <v>0</v>
      </c>
      <c r="G4439">
        <v>0</v>
      </c>
      <c r="H4439">
        <v>0</v>
      </c>
      <c r="I4439" t="s">
        <v>22</v>
      </c>
      <c r="J4439" t="s">
        <v>22</v>
      </c>
    </row>
    <row r="4440" spans="1:10" x14ac:dyDescent="0.25">
      <c r="A4440" t="s">
        <v>2749</v>
      </c>
      <c r="B4440" t="s">
        <v>95</v>
      </c>
      <c r="C4440">
        <v>0</v>
      </c>
      <c r="D4440">
        <v>0</v>
      </c>
      <c r="E4440" s="2">
        <v>23465000</v>
      </c>
      <c r="F4440">
        <v>0</v>
      </c>
      <c r="G4440">
        <v>0</v>
      </c>
      <c r="H4440">
        <v>0</v>
      </c>
      <c r="I4440" t="s">
        <v>22</v>
      </c>
      <c r="J4440" t="s">
        <v>22</v>
      </c>
    </row>
    <row r="4441" spans="1:10" x14ac:dyDescent="0.25">
      <c r="A4441" t="s">
        <v>2750</v>
      </c>
      <c r="B4441" t="s">
        <v>2751</v>
      </c>
      <c r="C4441">
        <v>0</v>
      </c>
      <c r="D4441">
        <v>0</v>
      </c>
      <c r="E4441" s="2">
        <v>2520405</v>
      </c>
      <c r="F4441">
        <v>0</v>
      </c>
      <c r="G4441">
        <v>0</v>
      </c>
      <c r="H4441">
        <v>0</v>
      </c>
      <c r="I4441" t="s">
        <v>22</v>
      </c>
      <c r="J4441" t="s">
        <v>22</v>
      </c>
    </row>
    <row r="4442" spans="1:10" x14ac:dyDescent="0.25">
      <c r="A4442" t="s">
        <v>2752</v>
      </c>
      <c r="B4442" t="s">
        <v>2753</v>
      </c>
      <c r="C4442" s="2">
        <v>9500</v>
      </c>
      <c r="D4442">
        <v>0</v>
      </c>
      <c r="E4442">
        <v>0</v>
      </c>
      <c r="F4442">
        <v>0</v>
      </c>
      <c r="G4442">
        <v>0</v>
      </c>
      <c r="H4442">
        <v>0</v>
      </c>
      <c r="I4442" t="s">
        <v>22</v>
      </c>
      <c r="J4442" t="s">
        <v>22</v>
      </c>
    </row>
    <row r="4443" spans="1:10" x14ac:dyDescent="0.25">
      <c r="A4443" t="s">
        <v>2754</v>
      </c>
      <c r="B4443" t="s">
        <v>2755</v>
      </c>
      <c r="C4443">
        <v>0</v>
      </c>
      <c r="D4443">
        <v>0</v>
      </c>
      <c r="E4443">
        <v>0</v>
      </c>
      <c r="F4443">
        <v>0</v>
      </c>
      <c r="G4443">
        <v>0</v>
      </c>
      <c r="H4443">
        <v>0</v>
      </c>
      <c r="I4443" t="s">
        <v>22</v>
      </c>
      <c r="J4443" t="s">
        <v>22</v>
      </c>
    </row>
    <row r="4444" spans="1:10" x14ac:dyDescent="0.25">
      <c r="A4444" t="s">
        <v>2756</v>
      </c>
      <c r="B4444" t="s">
        <v>2757</v>
      </c>
      <c r="C4444" s="2">
        <v>9500</v>
      </c>
      <c r="D4444">
        <v>0</v>
      </c>
      <c r="E4444">
        <v>0</v>
      </c>
      <c r="F4444">
        <v>0</v>
      </c>
      <c r="G4444">
        <v>0</v>
      </c>
      <c r="H4444">
        <v>0</v>
      </c>
      <c r="I4444" t="s">
        <v>22</v>
      </c>
      <c r="J4444" t="s">
        <v>22</v>
      </c>
    </row>
    <row r="4445" spans="1:10" x14ac:dyDescent="0.25">
      <c r="A4445" t="s">
        <v>2758</v>
      </c>
      <c r="B4445" t="s">
        <v>2759</v>
      </c>
      <c r="C4445">
        <v>0</v>
      </c>
      <c r="D4445">
        <v>0</v>
      </c>
      <c r="E4445">
        <v>0</v>
      </c>
      <c r="F4445">
        <v>0</v>
      </c>
      <c r="G4445">
        <v>0</v>
      </c>
      <c r="H4445">
        <v>0</v>
      </c>
      <c r="I4445" t="s">
        <v>22</v>
      </c>
      <c r="J4445" t="s">
        <v>22</v>
      </c>
    </row>
    <row r="4446" spans="1:10" x14ac:dyDescent="0.25">
      <c r="A4446" t="s">
        <v>2760</v>
      </c>
      <c r="B4446" t="s">
        <v>2761</v>
      </c>
      <c r="C4446">
        <v>0</v>
      </c>
      <c r="D4446">
        <v>0</v>
      </c>
      <c r="E4446">
        <v>0</v>
      </c>
      <c r="F4446">
        <v>0</v>
      </c>
      <c r="G4446">
        <v>0</v>
      </c>
      <c r="H4446">
        <v>0</v>
      </c>
      <c r="I4446" t="s">
        <v>22</v>
      </c>
      <c r="J4446" t="s">
        <v>22</v>
      </c>
    </row>
    <row r="4447" spans="1:10" x14ac:dyDescent="0.25">
      <c r="A4447" t="s">
        <v>2762</v>
      </c>
      <c r="B4447" t="s">
        <v>2763</v>
      </c>
      <c r="C4447">
        <v>0</v>
      </c>
      <c r="D4447">
        <v>0</v>
      </c>
      <c r="E4447">
        <v>0</v>
      </c>
      <c r="F4447">
        <v>0</v>
      </c>
      <c r="G4447">
        <v>0</v>
      </c>
      <c r="H4447">
        <v>0</v>
      </c>
      <c r="I4447" t="s">
        <v>22</v>
      </c>
      <c r="J4447" t="s">
        <v>22</v>
      </c>
    </row>
    <row r="4448" spans="1:10" x14ac:dyDescent="0.25">
      <c r="A4448" t="s">
        <v>2764</v>
      </c>
      <c r="B4448" t="s">
        <v>2765</v>
      </c>
      <c r="C4448">
        <v>0</v>
      </c>
      <c r="D4448">
        <v>0</v>
      </c>
      <c r="E4448">
        <v>0</v>
      </c>
      <c r="F4448">
        <v>0</v>
      </c>
      <c r="G4448">
        <v>0</v>
      </c>
      <c r="H4448">
        <v>0</v>
      </c>
      <c r="I4448" t="s">
        <v>22</v>
      </c>
      <c r="J4448" t="s">
        <v>22</v>
      </c>
    </row>
    <row r="4449" spans="1:10" x14ac:dyDescent="0.25">
      <c r="A4449" t="s">
        <v>2766</v>
      </c>
      <c r="B4449" t="s">
        <v>2767</v>
      </c>
      <c r="C4449" s="2">
        <v>407000</v>
      </c>
      <c r="D4449">
        <v>0</v>
      </c>
      <c r="E4449">
        <v>0</v>
      </c>
      <c r="F4449">
        <v>0</v>
      </c>
      <c r="G4449">
        <v>0</v>
      </c>
      <c r="H4449">
        <v>0</v>
      </c>
      <c r="I4449" t="s">
        <v>22</v>
      </c>
      <c r="J4449" t="s">
        <v>22</v>
      </c>
    </row>
    <row r="4450" spans="1:10" x14ac:dyDescent="0.25">
      <c r="A4450" t="s">
        <v>2768</v>
      </c>
      <c r="B4450" t="s">
        <v>2769</v>
      </c>
      <c r="C4450" s="2">
        <v>217000</v>
      </c>
      <c r="D4450">
        <v>0</v>
      </c>
      <c r="E4450">
        <v>0</v>
      </c>
      <c r="F4450">
        <v>0</v>
      </c>
      <c r="G4450">
        <v>0</v>
      </c>
      <c r="H4450">
        <v>0</v>
      </c>
      <c r="I4450" t="s">
        <v>22</v>
      </c>
      <c r="J4450" t="s">
        <v>22</v>
      </c>
    </row>
    <row r="4451" spans="1:10" x14ac:dyDescent="0.25">
      <c r="A4451" t="s">
        <v>2770</v>
      </c>
      <c r="B4451" t="s">
        <v>2771</v>
      </c>
      <c r="C4451">
        <v>0</v>
      </c>
      <c r="D4451">
        <v>0</v>
      </c>
      <c r="E4451">
        <v>0</v>
      </c>
      <c r="F4451">
        <v>0</v>
      </c>
      <c r="G4451">
        <v>0</v>
      </c>
      <c r="H4451">
        <v>0</v>
      </c>
      <c r="I4451" t="s">
        <v>22</v>
      </c>
      <c r="J4451" t="s">
        <v>22</v>
      </c>
    </row>
    <row r="4452" spans="1:10" x14ac:dyDescent="0.25">
      <c r="C4452" t="s">
        <v>108</v>
      </c>
      <c r="D4452" t="s">
        <v>108</v>
      </c>
      <c r="E4452" t="s">
        <v>108</v>
      </c>
      <c r="F4452" t="s">
        <v>108</v>
      </c>
      <c r="G4452" t="s">
        <v>108</v>
      </c>
    </row>
    <row r="4453" spans="1:10" x14ac:dyDescent="0.25">
      <c r="H4453" t="s">
        <v>22</v>
      </c>
      <c r="I4453" t="s">
        <v>22</v>
      </c>
      <c r="J4453" t="s">
        <v>22</v>
      </c>
    </row>
    <row r="4454" spans="1:10" x14ac:dyDescent="0.25">
      <c r="A4454" t="s">
        <v>109</v>
      </c>
    </row>
    <row r="4455" spans="1:10" x14ac:dyDescent="0.25">
      <c r="B4455" t="s">
        <v>2009</v>
      </c>
      <c r="C4455" s="2">
        <v>663678</v>
      </c>
      <c r="D4455" s="2">
        <v>57225</v>
      </c>
      <c r="E4455" s="2">
        <v>26866328</v>
      </c>
      <c r="F4455">
        <v>0</v>
      </c>
      <c r="G4455" s="2">
        <v>703117</v>
      </c>
      <c r="H4455">
        <v>0</v>
      </c>
    </row>
    <row r="4456" spans="1:10" x14ac:dyDescent="0.25">
      <c r="A4456" t="s">
        <v>18</v>
      </c>
      <c r="B4456" t="s">
        <v>19</v>
      </c>
      <c r="C4456" t="s">
        <v>20</v>
      </c>
      <c r="D4456" t="s">
        <v>21</v>
      </c>
      <c r="E4456" t="s">
        <v>26</v>
      </c>
    </row>
    <row r="4457" spans="1:10" x14ac:dyDescent="0.25">
      <c r="E4457" t="s">
        <v>339</v>
      </c>
      <c r="F4457" t="s">
        <v>23</v>
      </c>
      <c r="G4457" t="s">
        <v>24</v>
      </c>
      <c r="H4457" t="s">
        <v>20</v>
      </c>
      <c r="I4457" t="s">
        <v>24</v>
      </c>
      <c r="J4457" t="s">
        <v>20</v>
      </c>
    </row>
    <row r="4459" spans="1:10" x14ac:dyDescent="0.25">
      <c r="A4459" t="s">
        <v>383</v>
      </c>
      <c r="B4459" t="s">
        <v>384</v>
      </c>
      <c r="C4459" s="2">
        <v>663678</v>
      </c>
      <c r="D4459" s="2">
        <v>57225</v>
      </c>
      <c r="E4459" s="2">
        <v>26866328</v>
      </c>
      <c r="F4459">
        <v>0</v>
      </c>
      <c r="G4459" s="2">
        <v>703117</v>
      </c>
      <c r="H4459">
        <v>0</v>
      </c>
    </row>
    <row r="4460" spans="1:10" x14ac:dyDescent="0.25">
      <c r="A4460" t="s">
        <v>110</v>
      </c>
    </row>
    <row r="4461" spans="1:10" x14ac:dyDescent="0.25">
      <c r="A4461" s="1">
        <v>43991</v>
      </c>
      <c r="B4461" t="s">
        <v>1615</v>
      </c>
      <c r="D4461" t="s">
        <v>112</v>
      </c>
      <c r="E4461" t="s">
        <v>113</v>
      </c>
      <c r="F4461" t="s">
        <v>114</v>
      </c>
      <c r="J4461" t="s">
        <v>217</v>
      </c>
    </row>
    <row r="4462" spans="1:10" x14ac:dyDescent="0.25">
      <c r="D4462" t="s">
        <v>116</v>
      </c>
      <c r="E4462" t="s">
        <v>117</v>
      </c>
      <c r="F4462" t="s">
        <v>118</v>
      </c>
    </row>
    <row r="4463" spans="1:10" x14ac:dyDescent="0.25">
      <c r="D4463" t="s">
        <v>119</v>
      </c>
      <c r="E4463" t="s">
        <v>120</v>
      </c>
      <c r="F4463" t="s">
        <v>121</v>
      </c>
    </row>
    <row r="4464" spans="1:10" x14ac:dyDescent="0.25">
      <c r="A4464" t="s">
        <v>2612</v>
      </c>
      <c r="B4464" t="s">
        <v>2613</v>
      </c>
    </row>
    <row r="4465" spans="1:10" x14ac:dyDescent="0.25">
      <c r="A4465" t="s">
        <v>386</v>
      </c>
    </row>
    <row r="4466" spans="1:10" x14ac:dyDescent="0.25">
      <c r="F4466" t="s">
        <v>2</v>
      </c>
      <c r="G4466" t="s">
        <v>3</v>
      </c>
      <c r="H4466" t="s">
        <v>4</v>
      </c>
      <c r="I4466" t="s">
        <v>5</v>
      </c>
      <c r="J4466" t="s">
        <v>6</v>
      </c>
    </row>
    <row r="4467" spans="1:10" x14ac:dyDescent="0.25">
      <c r="C4467" t="s">
        <v>7</v>
      </c>
      <c r="D4467" t="s">
        <v>8</v>
      </c>
      <c r="E4467" t="s">
        <v>9</v>
      </c>
      <c r="F4467" t="s">
        <v>10</v>
      </c>
      <c r="G4467" t="s">
        <v>124</v>
      </c>
      <c r="H4467" t="s">
        <v>12</v>
      </c>
      <c r="I4467" t="s">
        <v>13</v>
      </c>
      <c r="J4467" t="s">
        <v>14</v>
      </c>
    </row>
    <row r="4468" spans="1:10" x14ac:dyDescent="0.25">
      <c r="C4468" t="s">
        <v>15</v>
      </c>
      <c r="D4468" t="s">
        <v>15</v>
      </c>
      <c r="E4468" t="s">
        <v>15</v>
      </c>
      <c r="F4468" t="s">
        <v>16</v>
      </c>
      <c r="G4468" t="s">
        <v>15</v>
      </c>
      <c r="H4468" t="s">
        <v>17</v>
      </c>
      <c r="I4468" t="s">
        <v>16</v>
      </c>
      <c r="J4468" t="s">
        <v>16</v>
      </c>
    </row>
    <row r="4469" spans="1:10" x14ac:dyDescent="0.25">
      <c r="A4469" t="s">
        <v>18</v>
      </c>
      <c r="B4469" t="s">
        <v>19</v>
      </c>
      <c r="C4469" t="s">
        <v>20</v>
      </c>
      <c r="D4469" t="s">
        <v>21</v>
      </c>
      <c r="E4469" t="s">
        <v>22</v>
      </c>
      <c r="F4469" t="s">
        <v>23</v>
      </c>
      <c r="G4469" t="s">
        <v>24</v>
      </c>
      <c r="H4469" t="s">
        <v>20</v>
      </c>
      <c r="I4469" t="s">
        <v>24</v>
      </c>
      <c r="J4469" t="s">
        <v>20</v>
      </c>
    </row>
    <row r="4472" spans="1:10" x14ac:dyDescent="0.25">
      <c r="A4472" t="s">
        <v>2001</v>
      </c>
      <c r="B4472" t="s">
        <v>2002</v>
      </c>
    </row>
    <row r="4473" spans="1:10" x14ac:dyDescent="0.25">
      <c r="A4473" t="s">
        <v>389</v>
      </c>
      <c r="B4473" t="s">
        <v>1661</v>
      </c>
    </row>
    <row r="4475" spans="1:10" x14ac:dyDescent="0.25">
      <c r="A4475" t="s">
        <v>391</v>
      </c>
      <c r="B4475" t="s">
        <v>392</v>
      </c>
    </row>
    <row r="4476" spans="1:10" x14ac:dyDescent="0.25">
      <c r="A4476" t="s">
        <v>18</v>
      </c>
      <c r="B4476" t="s">
        <v>228</v>
      </c>
    </row>
    <row r="4477" spans="1:10" x14ac:dyDescent="0.25">
      <c r="A4477" t="s">
        <v>2772</v>
      </c>
      <c r="B4477" t="s">
        <v>2773</v>
      </c>
      <c r="C4477">
        <v>0</v>
      </c>
      <c r="D4477">
        <v>0</v>
      </c>
      <c r="E4477">
        <v>0</v>
      </c>
      <c r="F4477">
        <v>0</v>
      </c>
      <c r="G4477">
        <v>0</v>
      </c>
      <c r="H4477">
        <v>0</v>
      </c>
      <c r="I4477" t="s">
        <v>22</v>
      </c>
      <c r="J4477" t="s">
        <v>22</v>
      </c>
    </row>
    <row r="4478" spans="1:10" x14ac:dyDescent="0.25">
      <c r="A4478" t="s">
        <v>2774</v>
      </c>
      <c r="B4478" t="s">
        <v>2775</v>
      </c>
      <c r="C4478">
        <v>0</v>
      </c>
      <c r="D4478">
        <v>0</v>
      </c>
      <c r="E4478">
        <v>0</v>
      </c>
      <c r="F4478">
        <v>0</v>
      </c>
      <c r="G4478">
        <v>0</v>
      </c>
      <c r="H4478">
        <v>0</v>
      </c>
      <c r="I4478" t="s">
        <v>22</v>
      </c>
      <c r="J4478" t="s">
        <v>22</v>
      </c>
    </row>
    <row r="4479" spans="1:10" x14ac:dyDescent="0.25">
      <c r="A4479" t="s">
        <v>2776</v>
      </c>
      <c r="B4479" t="s">
        <v>2777</v>
      </c>
      <c r="C4479">
        <v>0</v>
      </c>
      <c r="D4479">
        <v>0</v>
      </c>
      <c r="E4479">
        <v>0</v>
      </c>
      <c r="F4479">
        <v>0</v>
      </c>
      <c r="G4479">
        <v>0</v>
      </c>
      <c r="H4479">
        <v>0</v>
      </c>
      <c r="I4479" t="s">
        <v>22</v>
      </c>
      <c r="J4479" t="s">
        <v>22</v>
      </c>
    </row>
    <row r="4480" spans="1:10" x14ac:dyDescent="0.25">
      <c r="A4480" t="s">
        <v>2778</v>
      </c>
      <c r="B4480" t="s">
        <v>2779</v>
      </c>
      <c r="C4480">
        <v>0</v>
      </c>
      <c r="D4480">
        <v>0</v>
      </c>
      <c r="E4480">
        <v>0</v>
      </c>
      <c r="F4480">
        <v>0</v>
      </c>
      <c r="G4480">
        <v>0</v>
      </c>
      <c r="H4480">
        <v>0</v>
      </c>
      <c r="I4480" t="s">
        <v>22</v>
      </c>
      <c r="J4480" t="s">
        <v>22</v>
      </c>
    </row>
    <row r="4481" spans="1:10" x14ac:dyDescent="0.25">
      <c r="A4481" t="s">
        <v>2780</v>
      </c>
      <c r="B4481" t="s">
        <v>2781</v>
      </c>
      <c r="C4481">
        <v>0</v>
      </c>
      <c r="D4481">
        <v>0</v>
      </c>
      <c r="E4481">
        <v>0</v>
      </c>
      <c r="F4481">
        <v>0</v>
      </c>
      <c r="G4481">
        <v>0</v>
      </c>
      <c r="H4481">
        <v>0</v>
      </c>
      <c r="I4481" t="s">
        <v>22</v>
      </c>
      <c r="J4481" t="s">
        <v>22</v>
      </c>
    </row>
    <row r="4482" spans="1:10" x14ac:dyDescent="0.25">
      <c r="A4482" t="s">
        <v>2782</v>
      </c>
      <c r="B4482" t="s">
        <v>1275</v>
      </c>
      <c r="C4482">
        <v>0</v>
      </c>
      <c r="D4482">
        <v>0</v>
      </c>
      <c r="E4482">
        <v>0</v>
      </c>
      <c r="F4482">
        <v>0</v>
      </c>
      <c r="G4482">
        <v>0</v>
      </c>
      <c r="H4482">
        <v>0</v>
      </c>
      <c r="I4482" t="s">
        <v>22</v>
      </c>
      <c r="J4482" t="s">
        <v>22</v>
      </c>
    </row>
    <row r="4483" spans="1:10" x14ac:dyDescent="0.25">
      <c r="A4483" t="s">
        <v>2783</v>
      </c>
      <c r="B4483" t="s">
        <v>2784</v>
      </c>
      <c r="C4483">
        <v>0</v>
      </c>
      <c r="D4483">
        <v>0</v>
      </c>
      <c r="E4483">
        <v>0</v>
      </c>
      <c r="F4483">
        <v>0</v>
      </c>
      <c r="G4483">
        <v>0</v>
      </c>
      <c r="H4483">
        <v>0</v>
      </c>
      <c r="I4483" t="s">
        <v>22</v>
      </c>
      <c r="J4483" t="s">
        <v>22</v>
      </c>
    </row>
    <row r="4484" spans="1:10" x14ac:dyDescent="0.25">
      <c r="A4484" t="s">
        <v>2785</v>
      </c>
      <c r="B4484" t="s">
        <v>2784</v>
      </c>
      <c r="C4484">
        <v>0</v>
      </c>
      <c r="D4484">
        <v>0</v>
      </c>
      <c r="E4484">
        <v>0</v>
      </c>
      <c r="F4484">
        <v>0</v>
      </c>
      <c r="G4484">
        <v>0</v>
      </c>
      <c r="H4484">
        <v>0</v>
      </c>
      <c r="I4484" t="s">
        <v>22</v>
      </c>
      <c r="J4484" t="s">
        <v>22</v>
      </c>
    </row>
    <row r="4485" spans="1:10" x14ac:dyDescent="0.25">
      <c r="C4485" t="s">
        <v>108</v>
      </c>
      <c r="D4485" t="s">
        <v>108</v>
      </c>
      <c r="E4485" t="s">
        <v>108</v>
      </c>
      <c r="F4485" t="s">
        <v>108</v>
      </c>
      <c r="G4485" t="s">
        <v>108</v>
      </c>
    </row>
    <row r="4486" spans="1:10" x14ac:dyDescent="0.25">
      <c r="H4486" t="s">
        <v>22</v>
      </c>
      <c r="I4486" t="s">
        <v>22</v>
      </c>
      <c r="J4486" t="s">
        <v>22</v>
      </c>
    </row>
    <row r="4487" spans="1:10" x14ac:dyDescent="0.25">
      <c r="A4487" t="s">
        <v>109</v>
      </c>
    </row>
    <row r="4488" spans="1:10" x14ac:dyDescent="0.25">
      <c r="B4488" t="s">
        <v>441</v>
      </c>
      <c r="C4488">
        <v>0</v>
      </c>
      <c r="D4488">
        <v>0</v>
      </c>
      <c r="E4488">
        <v>0</v>
      </c>
      <c r="F4488">
        <v>0</v>
      </c>
      <c r="G4488">
        <v>0</v>
      </c>
      <c r="H4488">
        <v>0</v>
      </c>
    </row>
    <row r="4490" spans="1:10" x14ac:dyDescent="0.25">
      <c r="A4490" t="s">
        <v>442</v>
      </c>
      <c r="B4490" t="s">
        <v>443</v>
      </c>
    </row>
    <row r="4491" spans="1:10" x14ac:dyDescent="0.25">
      <c r="A4491" t="s">
        <v>18</v>
      </c>
      <c r="B4491" t="s">
        <v>21</v>
      </c>
    </row>
    <row r="4492" spans="1:10" x14ac:dyDescent="0.25">
      <c r="A4492" t="s">
        <v>2786</v>
      </c>
      <c r="B4492" t="s">
        <v>2787</v>
      </c>
      <c r="C4492">
        <v>0</v>
      </c>
      <c r="D4492">
        <v>0</v>
      </c>
      <c r="E4492">
        <v>0</v>
      </c>
      <c r="F4492">
        <v>0</v>
      </c>
      <c r="G4492">
        <v>0</v>
      </c>
      <c r="H4492">
        <v>0</v>
      </c>
      <c r="I4492" t="s">
        <v>22</v>
      </c>
      <c r="J4492" t="s">
        <v>22</v>
      </c>
    </row>
    <row r="4493" spans="1:10" x14ac:dyDescent="0.25">
      <c r="C4493" t="s">
        <v>108</v>
      </c>
      <c r="D4493" t="s">
        <v>108</v>
      </c>
      <c r="E4493" t="s">
        <v>108</v>
      </c>
      <c r="F4493" t="s">
        <v>108</v>
      </c>
      <c r="G4493" t="s">
        <v>108</v>
      </c>
    </row>
    <row r="4494" spans="1:10" x14ac:dyDescent="0.25">
      <c r="H4494" t="s">
        <v>22</v>
      </c>
      <c r="I4494" t="s">
        <v>22</v>
      </c>
      <c r="J4494" t="s">
        <v>22</v>
      </c>
    </row>
    <row r="4495" spans="1:10" x14ac:dyDescent="0.25">
      <c r="A4495" t="s">
        <v>109</v>
      </c>
    </row>
    <row r="4496" spans="1:10" x14ac:dyDescent="0.25">
      <c r="B4496" t="s">
        <v>478</v>
      </c>
      <c r="C4496">
        <v>0</v>
      </c>
      <c r="D4496">
        <v>0</v>
      </c>
      <c r="E4496">
        <v>0</v>
      </c>
      <c r="F4496">
        <v>0</v>
      </c>
      <c r="G4496">
        <v>0</v>
      </c>
      <c r="H4496">
        <v>0</v>
      </c>
    </row>
    <row r="4498" spans="1:10" x14ac:dyDescent="0.25">
      <c r="A4498" t="s">
        <v>2788</v>
      </c>
      <c r="B4498" t="s">
        <v>2789</v>
      </c>
    </row>
    <row r="4499" spans="1:10" x14ac:dyDescent="0.25">
      <c r="A4499" t="s">
        <v>18</v>
      </c>
      <c r="B4499" t="s">
        <v>526</v>
      </c>
    </row>
    <row r="4500" spans="1:10" x14ac:dyDescent="0.25">
      <c r="A4500" t="s">
        <v>2790</v>
      </c>
      <c r="B4500" t="s">
        <v>2791</v>
      </c>
      <c r="C4500">
        <v>0</v>
      </c>
      <c r="D4500">
        <v>0</v>
      </c>
      <c r="E4500">
        <v>0</v>
      </c>
      <c r="F4500">
        <v>0</v>
      </c>
      <c r="G4500">
        <v>0</v>
      </c>
      <c r="H4500">
        <v>0</v>
      </c>
      <c r="I4500" t="s">
        <v>22</v>
      </c>
      <c r="J4500" t="s">
        <v>22</v>
      </c>
    </row>
    <row r="4501" spans="1:10" x14ac:dyDescent="0.25">
      <c r="A4501" t="s">
        <v>2792</v>
      </c>
      <c r="B4501" t="s">
        <v>2793</v>
      </c>
      <c r="C4501">
        <v>0</v>
      </c>
      <c r="D4501">
        <v>0</v>
      </c>
      <c r="E4501">
        <v>0</v>
      </c>
      <c r="F4501">
        <v>0</v>
      </c>
      <c r="G4501">
        <v>0</v>
      </c>
      <c r="H4501">
        <v>0</v>
      </c>
      <c r="I4501" t="s">
        <v>22</v>
      </c>
      <c r="J4501" t="s">
        <v>22</v>
      </c>
    </row>
    <row r="4502" spans="1:10" x14ac:dyDescent="0.25">
      <c r="A4502" t="s">
        <v>2794</v>
      </c>
      <c r="B4502" t="s">
        <v>2795</v>
      </c>
      <c r="C4502">
        <v>0</v>
      </c>
      <c r="D4502">
        <v>0</v>
      </c>
      <c r="E4502">
        <v>0</v>
      </c>
      <c r="F4502">
        <v>0</v>
      </c>
      <c r="G4502">
        <v>0</v>
      </c>
      <c r="H4502">
        <v>0</v>
      </c>
      <c r="I4502" t="s">
        <v>22</v>
      </c>
      <c r="J4502" t="s">
        <v>22</v>
      </c>
    </row>
    <row r="4503" spans="1:10" x14ac:dyDescent="0.25">
      <c r="A4503" t="s">
        <v>2796</v>
      </c>
      <c r="B4503" t="s">
        <v>2797</v>
      </c>
      <c r="C4503">
        <v>0</v>
      </c>
      <c r="D4503">
        <v>0</v>
      </c>
      <c r="E4503">
        <v>0</v>
      </c>
      <c r="F4503">
        <v>0</v>
      </c>
      <c r="G4503">
        <v>0</v>
      </c>
      <c r="H4503">
        <v>0</v>
      </c>
      <c r="I4503" t="s">
        <v>22</v>
      </c>
      <c r="J4503" t="s">
        <v>22</v>
      </c>
    </row>
    <row r="4504" spans="1:10" x14ac:dyDescent="0.25">
      <c r="A4504" t="s">
        <v>2798</v>
      </c>
      <c r="B4504" t="s">
        <v>2799</v>
      </c>
      <c r="C4504">
        <v>0</v>
      </c>
      <c r="D4504">
        <v>0</v>
      </c>
      <c r="E4504">
        <v>0</v>
      </c>
      <c r="F4504">
        <v>0</v>
      </c>
      <c r="G4504">
        <v>0</v>
      </c>
      <c r="H4504">
        <v>0</v>
      </c>
      <c r="I4504" t="s">
        <v>22</v>
      </c>
      <c r="J4504" t="s">
        <v>22</v>
      </c>
    </row>
    <row r="4505" spans="1:10" x14ac:dyDescent="0.25">
      <c r="A4505" t="s">
        <v>2800</v>
      </c>
      <c r="B4505" t="s">
        <v>2801</v>
      </c>
      <c r="C4505">
        <v>0</v>
      </c>
      <c r="D4505">
        <v>0</v>
      </c>
      <c r="E4505">
        <v>0</v>
      </c>
      <c r="F4505">
        <v>0</v>
      </c>
      <c r="G4505">
        <v>0</v>
      </c>
      <c r="H4505">
        <v>0</v>
      </c>
      <c r="I4505" t="s">
        <v>22</v>
      </c>
      <c r="J4505" t="s">
        <v>22</v>
      </c>
    </row>
    <row r="4506" spans="1:10" x14ac:dyDescent="0.25">
      <c r="A4506" t="s">
        <v>2802</v>
      </c>
      <c r="B4506" t="s">
        <v>2803</v>
      </c>
      <c r="C4506">
        <v>0</v>
      </c>
      <c r="D4506">
        <v>0</v>
      </c>
      <c r="E4506">
        <v>0</v>
      </c>
      <c r="F4506">
        <v>0</v>
      </c>
      <c r="G4506">
        <v>0</v>
      </c>
      <c r="H4506">
        <v>0</v>
      </c>
      <c r="I4506" t="s">
        <v>22</v>
      </c>
      <c r="J4506" t="s">
        <v>22</v>
      </c>
    </row>
    <row r="4507" spans="1:10" x14ac:dyDescent="0.25">
      <c r="A4507" t="s">
        <v>2804</v>
      </c>
      <c r="B4507" t="s">
        <v>2805</v>
      </c>
      <c r="C4507">
        <v>0</v>
      </c>
      <c r="D4507">
        <v>0</v>
      </c>
      <c r="E4507">
        <v>0</v>
      </c>
      <c r="F4507">
        <v>0</v>
      </c>
      <c r="G4507">
        <v>0</v>
      </c>
      <c r="H4507">
        <v>0</v>
      </c>
      <c r="I4507" t="s">
        <v>22</v>
      </c>
      <c r="J4507" t="s">
        <v>22</v>
      </c>
    </row>
    <row r="4508" spans="1:10" x14ac:dyDescent="0.25">
      <c r="A4508" t="s">
        <v>2806</v>
      </c>
      <c r="B4508" t="s">
        <v>2807</v>
      </c>
      <c r="C4508">
        <v>0</v>
      </c>
      <c r="D4508">
        <v>0</v>
      </c>
      <c r="E4508">
        <v>0</v>
      </c>
      <c r="F4508">
        <v>0</v>
      </c>
      <c r="G4508">
        <v>0</v>
      </c>
      <c r="H4508">
        <v>0</v>
      </c>
      <c r="I4508" t="s">
        <v>22</v>
      </c>
      <c r="J4508" t="s">
        <v>22</v>
      </c>
    </row>
    <row r="4509" spans="1:10" x14ac:dyDescent="0.25">
      <c r="A4509" t="s">
        <v>2808</v>
      </c>
      <c r="B4509" t="s">
        <v>2809</v>
      </c>
      <c r="C4509">
        <v>0</v>
      </c>
      <c r="D4509">
        <v>0</v>
      </c>
      <c r="E4509">
        <v>0</v>
      </c>
      <c r="F4509">
        <v>0</v>
      </c>
      <c r="G4509">
        <v>0</v>
      </c>
      <c r="H4509">
        <v>0</v>
      </c>
      <c r="I4509" t="s">
        <v>22</v>
      </c>
      <c r="J4509" t="s">
        <v>22</v>
      </c>
    </row>
    <row r="4510" spans="1:10" x14ac:dyDescent="0.25">
      <c r="A4510" t="s">
        <v>2810</v>
      </c>
      <c r="B4510" t="s">
        <v>2811</v>
      </c>
      <c r="C4510">
        <v>0</v>
      </c>
      <c r="D4510">
        <v>0</v>
      </c>
      <c r="E4510">
        <v>0</v>
      </c>
      <c r="F4510">
        <v>0</v>
      </c>
      <c r="G4510">
        <v>0</v>
      </c>
      <c r="H4510">
        <v>0</v>
      </c>
      <c r="I4510" t="s">
        <v>22</v>
      </c>
      <c r="J4510" t="s">
        <v>22</v>
      </c>
    </row>
    <row r="4511" spans="1:10" x14ac:dyDescent="0.25">
      <c r="A4511" t="s">
        <v>2812</v>
      </c>
      <c r="B4511" t="s">
        <v>2813</v>
      </c>
      <c r="C4511">
        <v>0</v>
      </c>
      <c r="D4511">
        <v>0</v>
      </c>
      <c r="E4511">
        <v>0</v>
      </c>
      <c r="F4511">
        <v>0</v>
      </c>
      <c r="G4511">
        <v>0</v>
      </c>
      <c r="H4511">
        <v>0</v>
      </c>
      <c r="I4511" t="s">
        <v>22</v>
      </c>
      <c r="J4511" t="s">
        <v>22</v>
      </c>
    </row>
    <row r="4512" spans="1:10" x14ac:dyDescent="0.25">
      <c r="A4512" t="s">
        <v>2814</v>
      </c>
      <c r="B4512" t="s">
        <v>2815</v>
      </c>
      <c r="C4512">
        <v>0</v>
      </c>
      <c r="D4512">
        <v>0</v>
      </c>
      <c r="E4512">
        <v>0</v>
      </c>
      <c r="F4512">
        <v>0</v>
      </c>
      <c r="G4512">
        <v>0</v>
      </c>
      <c r="H4512">
        <v>0</v>
      </c>
      <c r="I4512" t="s">
        <v>22</v>
      </c>
      <c r="J4512" t="s">
        <v>22</v>
      </c>
    </row>
    <row r="4513" spans="1:10" x14ac:dyDescent="0.25">
      <c r="A4513" t="s">
        <v>2816</v>
      </c>
      <c r="B4513" t="s">
        <v>2817</v>
      </c>
      <c r="C4513">
        <v>0</v>
      </c>
      <c r="D4513">
        <v>0</v>
      </c>
      <c r="E4513">
        <v>0</v>
      </c>
      <c r="F4513">
        <v>0</v>
      </c>
      <c r="G4513">
        <v>0</v>
      </c>
      <c r="H4513">
        <v>0</v>
      </c>
      <c r="I4513" t="s">
        <v>22</v>
      </c>
      <c r="J4513" t="s">
        <v>22</v>
      </c>
    </row>
    <row r="4514" spans="1:10" x14ac:dyDescent="0.25">
      <c r="A4514" t="s">
        <v>2818</v>
      </c>
      <c r="B4514" t="s">
        <v>2819</v>
      </c>
      <c r="C4514">
        <v>0</v>
      </c>
      <c r="D4514">
        <v>0</v>
      </c>
      <c r="E4514">
        <v>0</v>
      </c>
      <c r="F4514">
        <v>0</v>
      </c>
      <c r="G4514">
        <v>0</v>
      </c>
      <c r="H4514">
        <v>0</v>
      </c>
      <c r="I4514" t="s">
        <v>22</v>
      </c>
      <c r="J4514" t="s">
        <v>22</v>
      </c>
    </row>
    <row r="4515" spans="1:10" x14ac:dyDescent="0.25">
      <c r="A4515" t="s">
        <v>2820</v>
      </c>
      <c r="B4515" t="s">
        <v>2821</v>
      </c>
      <c r="C4515">
        <v>0</v>
      </c>
      <c r="D4515">
        <v>0</v>
      </c>
      <c r="E4515">
        <v>0</v>
      </c>
      <c r="F4515">
        <v>0</v>
      </c>
      <c r="G4515">
        <v>0</v>
      </c>
      <c r="H4515">
        <v>0</v>
      </c>
      <c r="I4515" t="s">
        <v>22</v>
      </c>
      <c r="J4515" t="s">
        <v>22</v>
      </c>
    </row>
    <row r="4516" spans="1:10" x14ac:dyDescent="0.25">
      <c r="A4516" t="s">
        <v>2822</v>
      </c>
      <c r="B4516" t="s">
        <v>2823</v>
      </c>
      <c r="C4516">
        <v>0</v>
      </c>
      <c r="D4516">
        <v>0</v>
      </c>
      <c r="E4516">
        <v>0</v>
      </c>
      <c r="F4516">
        <v>0</v>
      </c>
      <c r="G4516">
        <v>0</v>
      </c>
      <c r="H4516">
        <v>0</v>
      </c>
      <c r="I4516" t="s">
        <v>22</v>
      </c>
      <c r="J4516" t="s">
        <v>22</v>
      </c>
    </row>
    <row r="4517" spans="1:10" x14ac:dyDescent="0.25">
      <c r="A4517" t="s">
        <v>2824</v>
      </c>
      <c r="B4517" t="s">
        <v>2825</v>
      </c>
      <c r="C4517">
        <v>0</v>
      </c>
      <c r="D4517">
        <v>0</v>
      </c>
      <c r="E4517">
        <v>0</v>
      </c>
      <c r="F4517">
        <v>0</v>
      </c>
      <c r="G4517">
        <v>0</v>
      </c>
      <c r="H4517">
        <v>0</v>
      </c>
      <c r="I4517" t="s">
        <v>22</v>
      </c>
      <c r="J4517" t="s">
        <v>22</v>
      </c>
    </row>
    <row r="4518" spans="1:10" x14ac:dyDescent="0.25">
      <c r="A4518" t="s">
        <v>2826</v>
      </c>
      <c r="B4518" t="s">
        <v>2827</v>
      </c>
      <c r="C4518">
        <v>0</v>
      </c>
      <c r="D4518">
        <v>0</v>
      </c>
      <c r="E4518">
        <v>0</v>
      </c>
      <c r="F4518">
        <v>0</v>
      </c>
      <c r="G4518">
        <v>0</v>
      </c>
      <c r="H4518">
        <v>0</v>
      </c>
      <c r="I4518" t="s">
        <v>22</v>
      </c>
      <c r="J4518" t="s">
        <v>22</v>
      </c>
    </row>
    <row r="4519" spans="1:10" x14ac:dyDescent="0.25">
      <c r="A4519" t="s">
        <v>2828</v>
      </c>
      <c r="B4519" t="s">
        <v>2829</v>
      </c>
      <c r="C4519">
        <v>0</v>
      </c>
      <c r="D4519">
        <v>0</v>
      </c>
      <c r="E4519">
        <v>0</v>
      </c>
      <c r="F4519">
        <v>0</v>
      </c>
      <c r="G4519">
        <v>0</v>
      </c>
      <c r="H4519">
        <v>0</v>
      </c>
      <c r="I4519" t="s">
        <v>22</v>
      </c>
      <c r="J4519" t="s">
        <v>22</v>
      </c>
    </row>
    <row r="4520" spans="1:10" x14ac:dyDescent="0.25">
      <c r="A4520" t="s">
        <v>2830</v>
      </c>
      <c r="B4520" t="s">
        <v>2831</v>
      </c>
      <c r="C4520">
        <v>0</v>
      </c>
      <c r="D4520">
        <v>0</v>
      </c>
      <c r="E4520">
        <v>0</v>
      </c>
      <c r="F4520">
        <v>0</v>
      </c>
      <c r="G4520">
        <v>0</v>
      </c>
      <c r="H4520">
        <v>0</v>
      </c>
      <c r="I4520" t="s">
        <v>22</v>
      </c>
      <c r="J4520" t="s">
        <v>22</v>
      </c>
    </row>
    <row r="4521" spans="1:10" x14ac:dyDescent="0.25">
      <c r="A4521" t="s">
        <v>2832</v>
      </c>
      <c r="B4521" t="s">
        <v>2833</v>
      </c>
      <c r="C4521">
        <v>0</v>
      </c>
      <c r="D4521">
        <v>0</v>
      </c>
      <c r="E4521">
        <v>0</v>
      </c>
      <c r="F4521">
        <v>0</v>
      </c>
      <c r="G4521">
        <v>0</v>
      </c>
      <c r="H4521">
        <v>0</v>
      </c>
      <c r="I4521" t="s">
        <v>22</v>
      </c>
      <c r="J4521" t="s">
        <v>22</v>
      </c>
    </row>
    <row r="4522" spans="1:10" x14ac:dyDescent="0.25">
      <c r="A4522" t="s">
        <v>2834</v>
      </c>
      <c r="B4522" t="s">
        <v>2835</v>
      </c>
      <c r="C4522">
        <v>0</v>
      </c>
      <c r="D4522">
        <v>0</v>
      </c>
      <c r="E4522">
        <v>0</v>
      </c>
      <c r="F4522">
        <v>0</v>
      </c>
      <c r="G4522">
        <v>0</v>
      </c>
      <c r="H4522">
        <v>0</v>
      </c>
      <c r="I4522" t="s">
        <v>22</v>
      </c>
      <c r="J4522" t="s">
        <v>22</v>
      </c>
    </row>
    <row r="4523" spans="1:10" x14ac:dyDescent="0.25">
      <c r="A4523" t="s">
        <v>2836</v>
      </c>
      <c r="B4523" t="s">
        <v>2837</v>
      </c>
      <c r="C4523">
        <v>0</v>
      </c>
      <c r="D4523">
        <v>0</v>
      </c>
      <c r="E4523">
        <v>0</v>
      </c>
      <c r="F4523">
        <v>0</v>
      </c>
      <c r="G4523">
        <v>0</v>
      </c>
      <c r="H4523">
        <v>0</v>
      </c>
      <c r="I4523" t="s">
        <v>22</v>
      </c>
      <c r="J4523" t="s">
        <v>22</v>
      </c>
    </row>
    <row r="4524" spans="1:10" x14ac:dyDescent="0.25">
      <c r="A4524" t="s">
        <v>2838</v>
      </c>
      <c r="B4524" t="s">
        <v>2839</v>
      </c>
      <c r="C4524">
        <v>0</v>
      </c>
      <c r="D4524">
        <v>0</v>
      </c>
      <c r="E4524">
        <v>0</v>
      </c>
      <c r="F4524">
        <v>0</v>
      </c>
      <c r="G4524">
        <v>0</v>
      </c>
      <c r="H4524">
        <v>0</v>
      </c>
      <c r="I4524" t="s">
        <v>22</v>
      </c>
      <c r="J4524" t="s">
        <v>22</v>
      </c>
    </row>
    <row r="4525" spans="1:10" x14ac:dyDescent="0.25">
      <c r="A4525" t="s">
        <v>2840</v>
      </c>
      <c r="B4525" t="s">
        <v>2841</v>
      </c>
      <c r="C4525">
        <v>0</v>
      </c>
      <c r="D4525">
        <v>0</v>
      </c>
      <c r="E4525">
        <v>0</v>
      </c>
      <c r="F4525">
        <v>0</v>
      </c>
      <c r="G4525">
        <v>0</v>
      </c>
      <c r="H4525">
        <v>0</v>
      </c>
      <c r="I4525" t="s">
        <v>22</v>
      </c>
      <c r="J4525" t="s">
        <v>22</v>
      </c>
    </row>
    <row r="4526" spans="1:10" x14ac:dyDescent="0.25">
      <c r="A4526" t="s">
        <v>2842</v>
      </c>
      <c r="B4526" t="s">
        <v>2843</v>
      </c>
      <c r="C4526">
        <v>0</v>
      </c>
      <c r="D4526">
        <v>0</v>
      </c>
      <c r="E4526">
        <v>0</v>
      </c>
      <c r="F4526">
        <v>0</v>
      </c>
      <c r="G4526">
        <v>0</v>
      </c>
      <c r="H4526">
        <v>0</v>
      </c>
      <c r="I4526" t="s">
        <v>22</v>
      </c>
      <c r="J4526" t="s">
        <v>22</v>
      </c>
    </row>
    <row r="4527" spans="1:10" x14ac:dyDescent="0.25">
      <c r="A4527" t="s">
        <v>2844</v>
      </c>
      <c r="B4527" t="s">
        <v>2845</v>
      </c>
      <c r="C4527">
        <v>0</v>
      </c>
      <c r="D4527">
        <v>0</v>
      </c>
      <c r="E4527">
        <v>0</v>
      </c>
      <c r="F4527">
        <v>0</v>
      </c>
      <c r="G4527">
        <v>0</v>
      </c>
      <c r="H4527">
        <v>0</v>
      </c>
      <c r="I4527" t="s">
        <v>22</v>
      </c>
      <c r="J4527" t="s">
        <v>22</v>
      </c>
    </row>
    <row r="4528" spans="1:10" x14ac:dyDescent="0.25">
      <c r="A4528" t="s">
        <v>2846</v>
      </c>
      <c r="B4528" t="s">
        <v>2847</v>
      </c>
      <c r="C4528">
        <v>0</v>
      </c>
      <c r="D4528">
        <v>0</v>
      </c>
      <c r="E4528">
        <v>0</v>
      </c>
      <c r="F4528">
        <v>0</v>
      </c>
      <c r="G4528">
        <v>0</v>
      </c>
      <c r="H4528">
        <v>0</v>
      </c>
      <c r="I4528" t="s">
        <v>22</v>
      </c>
      <c r="J4528" t="s">
        <v>22</v>
      </c>
    </row>
    <row r="4529" spans="1:10" x14ac:dyDescent="0.25">
      <c r="A4529" t="s">
        <v>110</v>
      </c>
    </row>
    <row r="4530" spans="1:10" x14ac:dyDescent="0.25">
      <c r="A4530" s="1">
        <v>43991</v>
      </c>
      <c r="B4530" t="s">
        <v>1615</v>
      </c>
      <c r="D4530" t="s">
        <v>112</v>
      </c>
      <c r="E4530" t="s">
        <v>113</v>
      </c>
      <c r="F4530" t="s">
        <v>114</v>
      </c>
      <c r="J4530" t="s">
        <v>307</v>
      </c>
    </row>
    <row r="4531" spans="1:10" x14ac:dyDescent="0.25">
      <c r="D4531" t="s">
        <v>116</v>
      </c>
      <c r="E4531" t="s">
        <v>117</v>
      </c>
      <c r="F4531" t="s">
        <v>118</v>
      </c>
    </row>
    <row r="4532" spans="1:10" x14ac:dyDescent="0.25">
      <c r="D4532" t="s">
        <v>119</v>
      </c>
      <c r="E4532" t="s">
        <v>120</v>
      </c>
      <c r="F4532" t="s">
        <v>121</v>
      </c>
    </row>
    <row r="4533" spans="1:10" x14ac:dyDescent="0.25">
      <c r="A4533" t="s">
        <v>2612</v>
      </c>
      <c r="B4533" t="s">
        <v>2613</v>
      </c>
    </row>
    <row r="4534" spans="1:10" x14ac:dyDescent="0.25">
      <c r="A4534" t="s">
        <v>386</v>
      </c>
    </row>
    <row r="4535" spans="1:10" x14ac:dyDescent="0.25">
      <c r="F4535" t="s">
        <v>2</v>
      </c>
      <c r="G4535" t="s">
        <v>3</v>
      </c>
      <c r="H4535" t="s">
        <v>4</v>
      </c>
      <c r="I4535" t="s">
        <v>5</v>
      </c>
      <c r="J4535" t="s">
        <v>6</v>
      </c>
    </row>
    <row r="4536" spans="1:10" x14ac:dyDescent="0.25">
      <c r="C4536" t="s">
        <v>7</v>
      </c>
      <c r="D4536" t="s">
        <v>8</v>
      </c>
      <c r="E4536" t="s">
        <v>9</v>
      </c>
      <c r="F4536" t="s">
        <v>10</v>
      </c>
      <c r="G4536" t="s">
        <v>124</v>
      </c>
      <c r="H4536" t="s">
        <v>12</v>
      </c>
      <c r="I4536" t="s">
        <v>13</v>
      </c>
      <c r="J4536" t="s">
        <v>14</v>
      </c>
    </row>
    <row r="4537" spans="1:10" x14ac:dyDescent="0.25">
      <c r="C4537" t="s">
        <v>15</v>
      </c>
      <c r="D4537" t="s">
        <v>15</v>
      </c>
      <c r="E4537" t="s">
        <v>15</v>
      </c>
      <c r="F4537" t="s">
        <v>16</v>
      </c>
      <c r="G4537" t="s">
        <v>15</v>
      </c>
      <c r="H4537" t="s">
        <v>17</v>
      </c>
      <c r="I4537" t="s">
        <v>16</v>
      </c>
      <c r="J4537" t="s">
        <v>16</v>
      </c>
    </row>
    <row r="4538" spans="1:10" x14ac:dyDescent="0.25">
      <c r="A4538" t="s">
        <v>18</v>
      </c>
      <c r="B4538" t="s">
        <v>19</v>
      </c>
      <c r="C4538" t="s">
        <v>20</v>
      </c>
      <c r="D4538" t="s">
        <v>21</v>
      </c>
      <c r="E4538" t="s">
        <v>22</v>
      </c>
      <c r="F4538" t="s">
        <v>23</v>
      </c>
      <c r="G4538" t="s">
        <v>24</v>
      </c>
      <c r="H4538" t="s">
        <v>20</v>
      </c>
      <c r="I4538" t="s">
        <v>24</v>
      </c>
      <c r="J4538" t="s">
        <v>20</v>
      </c>
    </row>
    <row r="4539" spans="1:10" x14ac:dyDescent="0.25">
      <c r="A4539" t="s">
        <v>2848</v>
      </c>
      <c r="B4539" t="s">
        <v>2849</v>
      </c>
      <c r="C4539">
        <v>0</v>
      </c>
      <c r="D4539">
        <v>0</v>
      </c>
      <c r="E4539">
        <v>0</v>
      </c>
      <c r="F4539">
        <v>0</v>
      </c>
      <c r="G4539">
        <v>0</v>
      </c>
      <c r="H4539">
        <v>0</v>
      </c>
      <c r="I4539" t="s">
        <v>22</v>
      </c>
      <c r="J4539" t="s">
        <v>22</v>
      </c>
    </row>
    <row r="4540" spans="1:10" x14ac:dyDescent="0.25">
      <c r="A4540" t="s">
        <v>2850</v>
      </c>
      <c r="B4540" t="s">
        <v>2851</v>
      </c>
      <c r="C4540">
        <v>0</v>
      </c>
      <c r="D4540">
        <v>0</v>
      </c>
      <c r="E4540">
        <v>0</v>
      </c>
      <c r="F4540">
        <v>0</v>
      </c>
      <c r="G4540">
        <v>0</v>
      </c>
      <c r="H4540">
        <v>0</v>
      </c>
      <c r="I4540" t="s">
        <v>22</v>
      </c>
      <c r="J4540" t="s">
        <v>22</v>
      </c>
    </row>
    <row r="4541" spans="1:10" x14ac:dyDescent="0.25">
      <c r="A4541" t="s">
        <v>2852</v>
      </c>
      <c r="B4541" t="s">
        <v>2853</v>
      </c>
      <c r="C4541">
        <v>0</v>
      </c>
      <c r="D4541">
        <v>0</v>
      </c>
      <c r="E4541">
        <v>0</v>
      </c>
      <c r="F4541">
        <v>0</v>
      </c>
      <c r="G4541">
        <v>0</v>
      </c>
      <c r="H4541">
        <v>0</v>
      </c>
      <c r="I4541" t="s">
        <v>22</v>
      </c>
      <c r="J4541" t="s">
        <v>22</v>
      </c>
    </row>
    <row r="4542" spans="1:10" x14ac:dyDescent="0.25">
      <c r="A4542" t="s">
        <v>2854</v>
      </c>
      <c r="B4542" t="s">
        <v>2855</v>
      </c>
      <c r="C4542">
        <v>0</v>
      </c>
      <c r="D4542">
        <v>0</v>
      </c>
      <c r="E4542">
        <v>0</v>
      </c>
      <c r="F4542">
        <v>0</v>
      </c>
      <c r="G4542">
        <v>0</v>
      </c>
      <c r="H4542">
        <v>0</v>
      </c>
      <c r="I4542" t="s">
        <v>22</v>
      </c>
      <c r="J4542" t="s">
        <v>22</v>
      </c>
    </row>
    <row r="4543" spans="1:10" x14ac:dyDescent="0.25">
      <c r="A4543" t="s">
        <v>2856</v>
      </c>
      <c r="B4543" t="s">
        <v>2857</v>
      </c>
      <c r="C4543">
        <v>0</v>
      </c>
      <c r="D4543">
        <v>0</v>
      </c>
      <c r="E4543">
        <v>0</v>
      </c>
      <c r="F4543">
        <v>0</v>
      </c>
      <c r="G4543">
        <v>0</v>
      </c>
      <c r="H4543">
        <v>0</v>
      </c>
      <c r="I4543" t="s">
        <v>22</v>
      </c>
      <c r="J4543" t="s">
        <v>22</v>
      </c>
    </row>
    <row r="4544" spans="1:10" x14ac:dyDescent="0.25">
      <c r="A4544" t="s">
        <v>2858</v>
      </c>
      <c r="B4544" t="s">
        <v>2859</v>
      </c>
      <c r="C4544">
        <v>0</v>
      </c>
      <c r="D4544">
        <v>0</v>
      </c>
      <c r="E4544">
        <v>0</v>
      </c>
      <c r="F4544">
        <v>0</v>
      </c>
      <c r="G4544">
        <v>0</v>
      </c>
      <c r="H4544">
        <v>0</v>
      </c>
      <c r="I4544" t="s">
        <v>22</v>
      </c>
      <c r="J4544" t="s">
        <v>22</v>
      </c>
    </row>
    <row r="4545" spans="1:10" x14ac:dyDescent="0.25">
      <c r="A4545" t="s">
        <v>2860</v>
      </c>
      <c r="B4545" t="s">
        <v>2861</v>
      </c>
      <c r="C4545">
        <v>0</v>
      </c>
      <c r="D4545">
        <v>0</v>
      </c>
      <c r="E4545">
        <v>0</v>
      </c>
      <c r="F4545">
        <v>0</v>
      </c>
      <c r="G4545">
        <v>0</v>
      </c>
      <c r="H4545">
        <v>0</v>
      </c>
      <c r="I4545" t="s">
        <v>22</v>
      </c>
      <c r="J4545" t="s">
        <v>22</v>
      </c>
    </row>
    <row r="4546" spans="1:10" x14ac:dyDescent="0.25">
      <c r="A4546" t="s">
        <v>2862</v>
      </c>
      <c r="B4546" t="s">
        <v>2863</v>
      </c>
      <c r="C4546">
        <v>0</v>
      </c>
      <c r="D4546">
        <v>0</v>
      </c>
      <c r="E4546">
        <v>0</v>
      </c>
      <c r="F4546">
        <v>0</v>
      </c>
      <c r="G4546">
        <v>0</v>
      </c>
      <c r="H4546">
        <v>0</v>
      </c>
      <c r="I4546" t="s">
        <v>22</v>
      </c>
      <c r="J4546" t="s">
        <v>22</v>
      </c>
    </row>
    <row r="4547" spans="1:10" x14ac:dyDescent="0.25">
      <c r="A4547" t="s">
        <v>2864</v>
      </c>
      <c r="B4547" t="s">
        <v>2865</v>
      </c>
      <c r="C4547">
        <v>0</v>
      </c>
      <c r="D4547">
        <v>0</v>
      </c>
      <c r="E4547">
        <v>0</v>
      </c>
      <c r="F4547">
        <v>0</v>
      </c>
      <c r="G4547">
        <v>0</v>
      </c>
      <c r="H4547">
        <v>0</v>
      </c>
      <c r="I4547" t="s">
        <v>22</v>
      </c>
      <c r="J4547" t="s">
        <v>22</v>
      </c>
    </row>
    <row r="4548" spans="1:10" x14ac:dyDescent="0.25">
      <c r="A4548" t="s">
        <v>2866</v>
      </c>
      <c r="B4548" t="s">
        <v>2867</v>
      </c>
      <c r="C4548">
        <v>0</v>
      </c>
      <c r="D4548">
        <v>0</v>
      </c>
      <c r="E4548">
        <v>0</v>
      </c>
      <c r="F4548">
        <v>0</v>
      </c>
      <c r="G4548">
        <v>0</v>
      </c>
      <c r="H4548">
        <v>0</v>
      </c>
      <c r="I4548" t="s">
        <v>22</v>
      </c>
      <c r="J4548" t="s">
        <v>22</v>
      </c>
    </row>
    <row r="4549" spans="1:10" x14ac:dyDescent="0.25">
      <c r="A4549" t="s">
        <v>2868</v>
      </c>
      <c r="B4549" t="s">
        <v>2869</v>
      </c>
      <c r="C4549">
        <v>0</v>
      </c>
      <c r="D4549">
        <v>0</v>
      </c>
      <c r="E4549">
        <v>0</v>
      </c>
      <c r="F4549">
        <v>0</v>
      </c>
      <c r="G4549">
        <v>0</v>
      </c>
      <c r="H4549">
        <v>0</v>
      </c>
      <c r="I4549" t="s">
        <v>22</v>
      </c>
      <c r="J4549" t="s">
        <v>22</v>
      </c>
    </row>
    <row r="4550" spans="1:10" x14ac:dyDescent="0.25">
      <c r="C4550" t="s">
        <v>108</v>
      </c>
      <c r="D4550" t="s">
        <v>108</v>
      </c>
      <c r="E4550" t="s">
        <v>108</v>
      </c>
      <c r="F4550" t="s">
        <v>108</v>
      </c>
      <c r="G4550" t="s">
        <v>108</v>
      </c>
    </row>
    <row r="4551" spans="1:10" x14ac:dyDescent="0.25">
      <c r="H4551" t="s">
        <v>22</v>
      </c>
      <c r="I4551" t="s">
        <v>22</v>
      </c>
      <c r="J4551" t="s">
        <v>22</v>
      </c>
    </row>
    <row r="4552" spans="1:10" x14ac:dyDescent="0.25">
      <c r="A4552" t="s">
        <v>109</v>
      </c>
    </row>
    <row r="4553" spans="1:10" x14ac:dyDescent="0.25">
      <c r="B4553" t="s">
        <v>2870</v>
      </c>
      <c r="C4553">
        <v>0</v>
      </c>
      <c r="D4553">
        <v>0</v>
      </c>
      <c r="E4553">
        <v>0</v>
      </c>
      <c r="F4553">
        <v>0</v>
      </c>
      <c r="G4553">
        <v>0</v>
      </c>
      <c r="H4553">
        <v>0</v>
      </c>
    </row>
    <row r="4555" spans="1:10" x14ac:dyDescent="0.25">
      <c r="A4555" t="s">
        <v>2788</v>
      </c>
      <c r="B4555" t="s">
        <v>2789</v>
      </c>
    </row>
    <row r="4556" spans="1:10" x14ac:dyDescent="0.25">
      <c r="A4556" t="s">
        <v>18</v>
      </c>
      <c r="B4556" t="s">
        <v>526</v>
      </c>
    </row>
    <row r="4557" spans="1:10" x14ac:dyDescent="0.25">
      <c r="A4557" t="s">
        <v>2871</v>
      </c>
      <c r="B4557" t="s">
        <v>2872</v>
      </c>
      <c r="C4557">
        <v>0</v>
      </c>
      <c r="D4557">
        <v>0</v>
      </c>
      <c r="E4557">
        <v>0</v>
      </c>
      <c r="F4557">
        <v>0</v>
      </c>
      <c r="G4557">
        <v>0</v>
      </c>
      <c r="H4557">
        <v>0</v>
      </c>
      <c r="I4557" t="s">
        <v>22</v>
      </c>
      <c r="J4557" t="s">
        <v>22</v>
      </c>
    </row>
    <row r="4558" spans="1:10" x14ac:dyDescent="0.25">
      <c r="A4558" t="s">
        <v>2873</v>
      </c>
      <c r="B4558" t="s">
        <v>2874</v>
      </c>
      <c r="C4558">
        <v>0</v>
      </c>
      <c r="D4558">
        <v>0</v>
      </c>
      <c r="E4558">
        <v>0</v>
      </c>
      <c r="F4558">
        <v>0</v>
      </c>
      <c r="G4558">
        <v>0</v>
      </c>
      <c r="H4558">
        <v>0</v>
      </c>
      <c r="I4558" t="s">
        <v>22</v>
      </c>
      <c r="J4558" t="s">
        <v>22</v>
      </c>
    </row>
    <row r="4559" spans="1:10" x14ac:dyDescent="0.25">
      <c r="A4559" t="s">
        <v>2875</v>
      </c>
      <c r="B4559" t="s">
        <v>2876</v>
      </c>
      <c r="C4559">
        <v>0</v>
      </c>
      <c r="D4559">
        <v>0</v>
      </c>
      <c r="E4559">
        <v>0</v>
      </c>
      <c r="F4559">
        <v>0</v>
      </c>
      <c r="G4559">
        <v>0</v>
      </c>
      <c r="H4559">
        <v>0</v>
      </c>
      <c r="I4559" t="s">
        <v>22</v>
      </c>
      <c r="J4559" t="s">
        <v>22</v>
      </c>
    </row>
    <row r="4560" spans="1:10" x14ac:dyDescent="0.25">
      <c r="A4560" t="s">
        <v>2877</v>
      </c>
      <c r="B4560" t="s">
        <v>2878</v>
      </c>
      <c r="C4560">
        <v>0</v>
      </c>
      <c r="D4560">
        <v>0</v>
      </c>
      <c r="E4560">
        <v>0</v>
      </c>
      <c r="F4560">
        <v>0</v>
      </c>
      <c r="G4560">
        <v>0</v>
      </c>
      <c r="H4560">
        <v>0</v>
      </c>
      <c r="I4560" t="s">
        <v>22</v>
      </c>
      <c r="J4560" t="s">
        <v>22</v>
      </c>
    </row>
    <row r="4561" spans="1:10" x14ac:dyDescent="0.25">
      <c r="A4561" t="s">
        <v>2879</v>
      </c>
      <c r="B4561" t="s">
        <v>2880</v>
      </c>
      <c r="C4561">
        <v>0</v>
      </c>
      <c r="D4561">
        <v>0</v>
      </c>
      <c r="E4561">
        <v>0</v>
      </c>
      <c r="F4561">
        <v>0</v>
      </c>
      <c r="G4561">
        <v>0</v>
      </c>
      <c r="H4561">
        <v>0</v>
      </c>
      <c r="I4561" t="s">
        <v>22</v>
      </c>
      <c r="J4561" t="s">
        <v>22</v>
      </c>
    </row>
    <row r="4562" spans="1:10" x14ac:dyDescent="0.25">
      <c r="A4562" t="s">
        <v>2881</v>
      </c>
      <c r="B4562" t="s">
        <v>2882</v>
      </c>
      <c r="C4562">
        <v>0</v>
      </c>
      <c r="D4562">
        <v>0</v>
      </c>
      <c r="E4562">
        <v>0</v>
      </c>
      <c r="F4562">
        <v>0</v>
      </c>
      <c r="G4562">
        <v>0</v>
      </c>
      <c r="H4562">
        <v>0</v>
      </c>
      <c r="I4562" t="s">
        <v>22</v>
      </c>
      <c r="J4562" t="s">
        <v>22</v>
      </c>
    </row>
    <row r="4563" spans="1:10" x14ac:dyDescent="0.25">
      <c r="A4563" t="s">
        <v>2883</v>
      </c>
      <c r="B4563" t="s">
        <v>2884</v>
      </c>
      <c r="C4563">
        <v>0</v>
      </c>
      <c r="D4563">
        <v>0</v>
      </c>
      <c r="E4563">
        <v>0</v>
      </c>
      <c r="F4563">
        <v>0</v>
      </c>
      <c r="G4563">
        <v>0</v>
      </c>
      <c r="H4563">
        <v>0</v>
      </c>
      <c r="I4563" t="s">
        <v>22</v>
      </c>
      <c r="J4563" t="s">
        <v>22</v>
      </c>
    </row>
    <row r="4564" spans="1:10" x14ac:dyDescent="0.25">
      <c r="A4564" t="s">
        <v>2885</v>
      </c>
      <c r="B4564" t="s">
        <v>2886</v>
      </c>
      <c r="C4564">
        <v>0</v>
      </c>
      <c r="D4564">
        <v>0</v>
      </c>
      <c r="E4564">
        <v>0</v>
      </c>
      <c r="F4564">
        <v>0</v>
      </c>
      <c r="G4564">
        <v>0</v>
      </c>
      <c r="H4564">
        <v>0</v>
      </c>
      <c r="I4564" t="s">
        <v>22</v>
      </c>
      <c r="J4564" t="s">
        <v>22</v>
      </c>
    </row>
    <row r="4565" spans="1:10" x14ac:dyDescent="0.25">
      <c r="A4565" t="s">
        <v>2887</v>
      </c>
      <c r="B4565" t="s">
        <v>2888</v>
      </c>
      <c r="C4565">
        <v>0</v>
      </c>
      <c r="D4565">
        <v>0</v>
      </c>
      <c r="E4565">
        <v>0</v>
      </c>
      <c r="F4565">
        <v>0</v>
      </c>
      <c r="G4565">
        <v>0</v>
      </c>
      <c r="H4565">
        <v>0</v>
      </c>
      <c r="I4565" t="s">
        <v>22</v>
      </c>
      <c r="J4565" t="s">
        <v>22</v>
      </c>
    </row>
    <row r="4566" spans="1:10" x14ac:dyDescent="0.25">
      <c r="A4566" t="s">
        <v>2889</v>
      </c>
      <c r="B4566" t="s">
        <v>2890</v>
      </c>
      <c r="C4566">
        <v>0</v>
      </c>
      <c r="D4566">
        <v>0</v>
      </c>
      <c r="E4566">
        <v>0</v>
      </c>
      <c r="F4566">
        <v>0</v>
      </c>
      <c r="G4566">
        <v>0</v>
      </c>
      <c r="H4566">
        <v>0</v>
      </c>
      <c r="I4566" t="s">
        <v>22</v>
      </c>
      <c r="J4566" t="s">
        <v>22</v>
      </c>
    </row>
    <row r="4567" spans="1:10" x14ac:dyDescent="0.25">
      <c r="A4567" t="s">
        <v>2891</v>
      </c>
      <c r="B4567" t="s">
        <v>2892</v>
      </c>
      <c r="C4567">
        <v>0</v>
      </c>
      <c r="D4567">
        <v>0</v>
      </c>
      <c r="E4567">
        <v>0</v>
      </c>
      <c r="F4567">
        <v>0</v>
      </c>
      <c r="G4567">
        <v>0</v>
      </c>
      <c r="H4567">
        <v>0</v>
      </c>
      <c r="I4567" t="s">
        <v>22</v>
      </c>
      <c r="J4567" t="s">
        <v>22</v>
      </c>
    </row>
    <row r="4568" spans="1:10" x14ac:dyDescent="0.25">
      <c r="A4568" t="s">
        <v>2893</v>
      </c>
      <c r="B4568" t="s">
        <v>2894</v>
      </c>
      <c r="C4568">
        <v>0</v>
      </c>
      <c r="D4568">
        <v>0</v>
      </c>
      <c r="E4568">
        <v>0</v>
      </c>
      <c r="F4568">
        <v>0</v>
      </c>
      <c r="G4568">
        <v>0</v>
      </c>
      <c r="H4568">
        <v>0</v>
      </c>
      <c r="I4568" t="s">
        <v>22</v>
      </c>
      <c r="J4568" t="s">
        <v>22</v>
      </c>
    </row>
    <row r="4569" spans="1:10" x14ac:dyDescent="0.25">
      <c r="A4569" t="s">
        <v>2895</v>
      </c>
      <c r="B4569" t="s">
        <v>2896</v>
      </c>
      <c r="C4569">
        <v>0</v>
      </c>
      <c r="D4569">
        <v>0</v>
      </c>
      <c r="E4569">
        <v>0</v>
      </c>
      <c r="F4569">
        <v>0</v>
      </c>
      <c r="G4569">
        <v>0</v>
      </c>
      <c r="H4569">
        <v>0</v>
      </c>
      <c r="I4569" t="s">
        <v>22</v>
      </c>
      <c r="J4569" t="s">
        <v>22</v>
      </c>
    </row>
    <row r="4570" spans="1:10" x14ac:dyDescent="0.25">
      <c r="A4570" t="s">
        <v>2897</v>
      </c>
      <c r="B4570" t="s">
        <v>2898</v>
      </c>
      <c r="C4570">
        <v>0</v>
      </c>
      <c r="D4570">
        <v>0</v>
      </c>
      <c r="E4570">
        <v>0</v>
      </c>
      <c r="F4570">
        <v>0</v>
      </c>
      <c r="G4570">
        <v>0</v>
      </c>
      <c r="H4570">
        <v>0</v>
      </c>
      <c r="I4570" t="s">
        <v>22</v>
      </c>
      <c r="J4570" t="s">
        <v>22</v>
      </c>
    </row>
    <row r="4571" spans="1:10" x14ac:dyDescent="0.25">
      <c r="A4571" t="s">
        <v>2899</v>
      </c>
      <c r="B4571" t="s">
        <v>2900</v>
      </c>
      <c r="C4571">
        <v>0</v>
      </c>
      <c r="D4571">
        <v>0</v>
      </c>
      <c r="E4571">
        <v>0</v>
      </c>
      <c r="F4571">
        <v>0</v>
      </c>
      <c r="G4571">
        <v>0</v>
      </c>
      <c r="H4571">
        <v>0</v>
      </c>
      <c r="I4571" t="s">
        <v>22</v>
      </c>
      <c r="J4571" t="s">
        <v>22</v>
      </c>
    </row>
    <row r="4572" spans="1:10" x14ac:dyDescent="0.25">
      <c r="A4572" t="s">
        <v>2901</v>
      </c>
      <c r="B4572" t="s">
        <v>2902</v>
      </c>
      <c r="C4572">
        <v>0</v>
      </c>
      <c r="D4572">
        <v>0</v>
      </c>
      <c r="E4572">
        <v>0</v>
      </c>
      <c r="F4572">
        <v>0</v>
      </c>
      <c r="G4572">
        <v>0</v>
      </c>
      <c r="H4572">
        <v>0</v>
      </c>
      <c r="I4572" t="s">
        <v>22</v>
      </c>
      <c r="J4572" t="s">
        <v>22</v>
      </c>
    </row>
    <row r="4573" spans="1:10" x14ac:dyDescent="0.25">
      <c r="A4573" t="s">
        <v>2903</v>
      </c>
      <c r="B4573" t="s">
        <v>2904</v>
      </c>
      <c r="C4573">
        <v>0</v>
      </c>
      <c r="D4573">
        <v>0</v>
      </c>
      <c r="E4573">
        <v>0</v>
      </c>
      <c r="F4573">
        <v>0</v>
      </c>
      <c r="G4573">
        <v>0</v>
      </c>
      <c r="H4573">
        <v>0</v>
      </c>
      <c r="I4573" t="s">
        <v>22</v>
      </c>
      <c r="J4573" t="s">
        <v>22</v>
      </c>
    </row>
    <row r="4574" spans="1:10" x14ac:dyDescent="0.25">
      <c r="A4574" t="s">
        <v>2905</v>
      </c>
      <c r="B4574" t="s">
        <v>2906</v>
      </c>
      <c r="C4574">
        <v>0</v>
      </c>
      <c r="D4574">
        <v>0</v>
      </c>
      <c r="E4574">
        <v>0</v>
      </c>
      <c r="F4574">
        <v>0</v>
      </c>
      <c r="G4574">
        <v>0</v>
      </c>
      <c r="H4574">
        <v>0</v>
      </c>
      <c r="I4574" t="s">
        <v>22</v>
      </c>
      <c r="J4574" t="s">
        <v>22</v>
      </c>
    </row>
    <row r="4575" spans="1:10" x14ac:dyDescent="0.25">
      <c r="A4575" t="s">
        <v>2907</v>
      </c>
      <c r="B4575" t="s">
        <v>2908</v>
      </c>
      <c r="C4575">
        <v>0</v>
      </c>
      <c r="D4575">
        <v>0</v>
      </c>
      <c r="E4575" s="2">
        <v>285371</v>
      </c>
      <c r="F4575">
        <v>0</v>
      </c>
      <c r="G4575">
        <v>0</v>
      </c>
      <c r="H4575">
        <v>0</v>
      </c>
      <c r="I4575" t="s">
        <v>22</v>
      </c>
      <c r="J4575" t="s">
        <v>22</v>
      </c>
    </row>
    <row r="4576" spans="1:10" x14ac:dyDescent="0.25">
      <c r="C4576" t="s">
        <v>108</v>
      </c>
      <c r="D4576" t="s">
        <v>108</v>
      </c>
      <c r="E4576" t="s">
        <v>108</v>
      </c>
      <c r="F4576" t="s">
        <v>108</v>
      </c>
      <c r="G4576" t="s">
        <v>108</v>
      </c>
    </row>
    <row r="4577" spans="1:10" x14ac:dyDescent="0.25">
      <c r="H4577" t="s">
        <v>22</v>
      </c>
      <c r="I4577" t="s">
        <v>22</v>
      </c>
      <c r="J4577" t="s">
        <v>22</v>
      </c>
    </row>
    <row r="4578" spans="1:10" x14ac:dyDescent="0.25">
      <c r="A4578" t="s">
        <v>109</v>
      </c>
    </row>
    <row r="4579" spans="1:10" x14ac:dyDescent="0.25">
      <c r="B4579" t="s">
        <v>2870</v>
      </c>
      <c r="C4579">
        <v>0</v>
      </c>
      <c r="D4579">
        <v>0</v>
      </c>
      <c r="E4579" s="2">
        <v>285371</v>
      </c>
      <c r="F4579">
        <v>0</v>
      </c>
      <c r="G4579">
        <v>0</v>
      </c>
      <c r="H4579">
        <v>0</v>
      </c>
    </row>
    <row r="4581" spans="1:10" x14ac:dyDescent="0.25">
      <c r="A4581" t="s">
        <v>2788</v>
      </c>
      <c r="B4581" t="s">
        <v>2789</v>
      </c>
    </row>
    <row r="4582" spans="1:10" x14ac:dyDescent="0.25">
      <c r="A4582" t="s">
        <v>18</v>
      </c>
      <c r="B4582" t="s">
        <v>526</v>
      </c>
    </row>
    <row r="4583" spans="1:10" x14ac:dyDescent="0.25">
      <c r="A4583" t="s">
        <v>2909</v>
      </c>
      <c r="B4583" t="s">
        <v>2910</v>
      </c>
      <c r="C4583">
        <v>0</v>
      </c>
      <c r="D4583">
        <v>0</v>
      </c>
      <c r="E4583">
        <v>0</v>
      </c>
      <c r="F4583">
        <v>0</v>
      </c>
      <c r="G4583">
        <v>0</v>
      </c>
      <c r="H4583">
        <v>0</v>
      </c>
      <c r="I4583" t="s">
        <v>22</v>
      </c>
      <c r="J4583" t="s">
        <v>22</v>
      </c>
    </row>
    <row r="4584" spans="1:10" x14ac:dyDescent="0.25">
      <c r="A4584" t="s">
        <v>2911</v>
      </c>
      <c r="B4584" t="s">
        <v>2912</v>
      </c>
      <c r="C4584">
        <v>0</v>
      </c>
      <c r="D4584">
        <v>0</v>
      </c>
      <c r="E4584">
        <v>0</v>
      </c>
      <c r="F4584">
        <v>0</v>
      </c>
      <c r="G4584">
        <v>0</v>
      </c>
      <c r="H4584">
        <v>0</v>
      </c>
      <c r="I4584" t="s">
        <v>22</v>
      </c>
      <c r="J4584" t="s">
        <v>22</v>
      </c>
    </row>
    <row r="4585" spans="1:10" x14ac:dyDescent="0.25">
      <c r="A4585" t="s">
        <v>2913</v>
      </c>
      <c r="B4585" t="s">
        <v>2914</v>
      </c>
      <c r="C4585">
        <v>0</v>
      </c>
      <c r="D4585">
        <v>0</v>
      </c>
      <c r="E4585">
        <v>0</v>
      </c>
      <c r="F4585">
        <v>0</v>
      </c>
      <c r="G4585">
        <v>0</v>
      </c>
      <c r="H4585">
        <v>0</v>
      </c>
      <c r="I4585" t="s">
        <v>22</v>
      </c>
      <c r="J4585" t="s">
        <v>22</v>
      </c>
    </row>
    <row r="4586" spans="1:10" x14ac:dyDescent="0.25">
      <c r="A4586" t="s">
        <v>2915</v>
      </c>
      <c r="B4586" t="s">
        <v>2916</v>
      </c>
      <c r="C4586">
        <v>0</v>
      </c>
      <c r="D4586">
        <v>0</v>
      </c>
      <c r="E4586">
        <v>0</v>
      </c>
      <c r="F4586">
        <v>0</v>
      </c>
      <c r="G4586">
        <v>0</v>
      </c>
      <c r="H4586">
        <v>0</v>
      </c>
      <c r="I4586" t="s">
        <v>22</v>
      </c>
      <c r="J4586" t="s">
        <v>22</v>
      </c>
    </row>
    <row r="4587" spans="1:10" x14ac:dyDescent="0.25">
      <c r="A4587" t="s">
        <v>2917</v>
      </c>
      <c r="B4587" t="s">
        <v>2918</v>
      </c>
      <c r="C4587">
        <v>0</v>
      </c>
      <c r="D4587">
        <v>0</v>
      </c>
      <c r="E4587">
        <v>0</v>
      </c>
      <c r="F4587">
        <v>0</v>
      </c>
      <c r="G4587">
        <v>0</v>
      </c>
      <c r="H4587">
        <v>0</v>
      </c>
      <c r="I4587" t="s">
        <v>22</v>
      </c>
      <c r="J4587" t="s">
        <v>22</v>
      </c>
    </row>
    <row r="4588" spans="1:10" x14ac:dyDescent="0.25">
      <c r="A4588" t="s">
        <v>2919</v>
      </c>
      <c r="B4588" t="s">
        <v>2920</v>
      </c>
      <c r="C4588">
        <v>0</v>
      </c>
      <c r="D4588">
        <v>0</v>
      </c>
      <c r="E4588">
        <v>0</v>
      </c>
      <c r="F4588">
        <v>0</v>
      </c>
      <c r="G4588">
        <v>0</v>
      </c>
      <c r="H4588">
        <v>0</v>
      </c>
      <c r="I4588" t="s">
        <v>22</v>
      </c>
      <c r="J4588" t="s">
        <v>22</v>
      </c>
    </row>
    <row r="4589" spans="1:10" x14ac:dyDescent="0.25">
      <c r="A4589" t="s">
        <v>2921</v>
      </c>
      <c r="B4589" t="s">
        <v>2922</v>
      </c>
      <c r="C4589">
        <v>0</v>
      </c>
      <c r="D4589">
        <v>0</v>
      </c>
      <c r="E4589">
        <v>0</v>
      </c>
      <c r="F4589">
        <v>0</v>
      </c>
      <c r="G4589">
        <v>0</v>
      </c>
      <c r="H4589">
        <v>0</v>
      </c>
      <c r="I4589" t="s">
        <v>22</v>
      </c>
      <c r="J4589" t="s">
        <v>22</v>
      </c>
    </row>
    <row r="4590" spans="1:10" x14ac:dyDescent="0.25">
      <c r="A4590" t="s">
        <v>2923</v>
      </c>
      <c r="B4590" t="s">
        <v>2924</v>
      </c>
      <c r="C4590">
        <v>0</v>
      </c>
      <c r="D4590">
        <v>0</v>
      </c>
      <c r="E4590">
        <v>0</v>
      </c>
      <c r="F4590">
        <v>0</v>
      </c>
      <c r="G4590">
        <v>0</v>
      </c>
      <c r="H4590">
        <v>0</v>
      </c>
      <c r="I4590" t="s">
        <v>22</v>
      </c>
      <c r="J4590" t="s">
        <v>22</v>
      </c>
    </row>
    <row r="4591" spans="1:10" x14ac:dyDescent="0.25">
      <c r="A4591" t="s">
        <v>2925</v>
      </c>
      <c r="B4591" t="s">
        <v>2926</v>
      </c>
      <c r="C4591">
        <v>0</v>
      </c>
      <c r="D4591">
        <v>0</v>
      </c>
      <c r="E4591">
        <v>0</v>
      </c>
      <c r="F4591">
        <v>0</v>
      </c>
      <c r="G4591">
        <v>0</v>
      </c>
      <c r="H4591">
        <v>0</v>
      </c>
      <c r="I4591" t="s">
        <v>22</v>
      </c>
      <c r="J4591" t="s">
        <v>22</v>
      </c>
    </row>
    <row r="4592" spans="1:10" x14ac:dyDescent="0.25">
      <c r="A4592" t="s">
        <v>2927</v>
      </c>
      <c r="B4592" t="s">
        <v>2928</v>
      </c>
      <c r="C4592">
        <v>0</v>
      </c>
      <c r="D4592">
        <v>0</v>
      </c>
      <c r="E4592">
        <v>0</v>
      </c>
      <c r="F4592">
        <v>0</v>
      </c>
      <c r="G4592">
        <v>0</v>
      </c>
      <c r="H4592">
        <v>0</v>
      </c>
      <c r="I4592" t="s">
        <v>22</v>
      </c>
      <c r="J4592" t="s">
        <v>22</v>
      </c>
    </row>
    <row r="4593" spans="1:10" x14ac:dyDescent="0.25">
      <c r="A4593" t="s">
        <v>2929</v>
      </c>
      <c r="B4593" t="s">
        <v>2930</v>
      </c>
      <c r="C4593">
        <v>0</v>
      </c>
      <c r="D4593">
        <v>0</v>
      </c>
      <c r="E4593">
        <v>0</v>
      </c>
      <c r="F4593">
        <v>0</v>
      </c>
      <c r="G4593">
        <v>0</v>
      </c>
      <c r="H4593">
        <v>0</v>
      </c>
      <c r="I4593" t="s">
        <v>22</v>
      </c>
      <c r="J4593" t="s">
        <v>22</v>
      </c>
    </row>
    <row r="4594" spans="1:10" x14ac:dyDescent="0.25">
      <c r="A4594" t="s">
        <v>2931</v>
      </c>
      <c r="B4594" t="s">
        <v>2932</v>
      </c>
      <c r="C4594">
        <v>0</v>
      </c>
      <c r="D4594">
        <v>0</v>
      </c>
      <c r="E4594">
        <v>0</v>
      </c>
      <c r="F4594">
        <v>0</v>
      </c>
      <c r="G4594">
        <v>0</v>
      </c>
      <c r="H4594">
        <v>0</v>
      </c>
      <c r="I4594" t="s">
        <v>22</v>
      </c>
      <c r="J4594" t="s">
        <v>22</v>
      </c>
    </row>
    <row r="4595" spans="1:10" x14ac:dyDescent="0.25">
      <c r="A4595" t="s">
        <v>2933</v>
      </c>
      <c r="B4595" t="s">
        <v>2934</v>
      </c>
      <c r="C4595">
        <v>0</v>
      </c>
      <c r="D4595">
        <v>0</v>
      </c>
      <c r="E4595">
        <v>0</v>
      </c>
      <c r="F4595">
        <v>0</v>
      </c>
      <c r="G4595">
        <v>0</v>
      </c>
      <c r="H4595">
        <v>0</v>
      </c>
      <c r="I4595" t="s">
        <v>22</v>
      </c>
      <c r="J4595" t="s">
        <v>22</v>
      </c>
    </row>
    <row r="4596" spans="1:10" x14ac:dyDescent="0.25">
      <c r="A4596" t="s">
        <v>2935</v>
      </c>
      <c r="B4596" t="s">
        <v>2936</v>
      </c>
      <c r="C4596">
        <v>0</v>
      </c>
      <c r="D4596">
        <v>0</v>
      </c>
      <c r="E4596">
        <v>0</v>
      </c>
      <c r="F4596">
        <v>0</v>
      </c>
      <c r="G4596">
        <v>0</v>
      </c>
      <c r="H4596">
        <v>0</v>
      </c>
      <c r="I4596" t="s">
        <v>22</v>
      </c>
      <c r="J4596" t="s">
        <v>22</v>
      </c>
    </row>
    <row r="4597" spans="1:10" x14ac:dyDescent="0.25">
      <c r="A4597" t="s">
        <v>110</v>
      </c>
    </row>
    <row r="4598" spans="1:10" x14ac:dyDescent="0.25">
      <c r="A4598" s="1">
        <v>43991</v>
      </c>
      <c r="B4598" t="s">
        <v>1615</v>
      </c>
      <c r="D4598" t="s">
        <v>112</v>
      </c>
      <c r="E4598" t="s">
        <v>113</v>
      </c>
      <c r="F4598" t="s">
        <v>114</v>
      </c>
      <c r="J4598" t="s">
        <v>385</v>
      </c>
    </row>
    <row r="4599" spans="1:10" x14ac:dyDescent="0.25">
      <c r="D4599" t="s">
        <v>116</v>
      </c>
      <c r="E4599" t="s">
        <v>117</v>
      </c>
      <c r="F4599" t="s">
        <v>118</v>
      </c>
    </row>
    <row r="4600" spans="1:10" x14ac:dyDescent="0.25">
      <c r="D4600" t="s">
        <v>119</v>
      </c>
      <c r="E4600" t="s">
        <v>120</v>
      </c>
      <c r="F4600" t="s">
        <v>121</v>
      </c>
    </row>
    <row r="4601" spans="1:10" x14ac:dyDescent="0.25">
      <c r="A4601" t="s">
        <v>2612</v>
      </c>
      <c r="B4601" t="s">
        <v>2613</v>
      </c>
    </row>
    <row r="4602" spans="1:10" x14ac:dyDescent="0.25">
      <c r="A4602" t="s">
        <v>386</v>
      </c>
    </row>
    <row r="4603" spans="1:10" x14ac:dyDescent="0.25">
      <c r="F4603" t="s">
        <v>2</v>
      </c>
      <c r="G4603" t="s">
        <v>3</v>
      </c>
      <c r="H4603" t="s">
        <v>4</v>
      </c>
      <c r="I4603" t="s">
        <v>5</v>
      </c>
      <c r="J4603" t="s">
        <v>6</v>
      </c>
    </row>
    <row r="4604" spans="1:10" x14ac:dyDescent="0.25">
      <c r="C4604" t="s">
        <v>7</v>
      </c>
      <c r="D4604" t="s">
        <v>8</v>
      </c>
      <c r="E4604" t="s">
        <v>9</v>
      </c>
      <c r="F4604" t="s">
        <v>10</v>
      </c>
      <c r="G4604" t="s">
        <v>124</v>
      </c>
      <c r="H4604" t="s">
        <v>12</v>
      </c>
      <c r="I4604" t="s">
        <v>13</v>
      </c>
      <c r="J4604" t="s">
        <v>14</v>
      </c>
    </row>
    <row r="4605" spans="1:10" x14ac:dyDescent="0.25">
      <c r="C4605" t="s">
        <v>15</v>
      </c>
      <c r="D4605" t="s">
        <v>15</v>
      </c>
      <c r="E4605" t="s">
        <v>15</v>
      </c>
      <c r="F4605" t="s">
        <v>16</v>
      </c>
      <c r="G4605" t="s">
        <v>15</v>
      </c>
      <c r="H4605" t="s">
        <v>17</v>
      </c>
      <c r="I4605" t="s">
        <v>16</v>
      </c>
      <c r="J4605" t="s">
        <v>16</v>
      </c>
    </row>
    <row r="4606" spans="1:10" x14ac:dyDescent="0.25">
      <c r="A4606" t="s">
        <v>18</v>
      </c>
      <c r="B4606" t="s">
        <v>19</v>
      </c>
      <c r="C4606" t="s">
        <v>20</v>
      </c>
      <c r="D4606" t="s">
        <v>21</v>
      </c>
      <c r="E4606" t="s">
        <v>22</v>
      </c>
      <c r="F4606" t="s">
        <v>23</v>
      </c>
      <c r="G4606" t="s">
        <v>24</v>
      </c>
      <c r="H4606" t="s">
        <v>20</v>
      </c>
      <c r="I4606" t="s">
        <v>24</v>
      </c>
      <c r="J4606" t="s">
        <v>20</v>
      </c>
    </row>
    <row r="4607" spans="1:10" x14ac:dyDescent="0.25">
      <c r="A4607" t="s">
        <v>2937</v>
      </c>
      <c r="B4607" t="s">
        <v>2938</v>
      </c>
      <c r="C4607">
        <v>0</v>
      </c>
      <c r="D4607">
        <v>0</v>
      </c>
      <c r="E4607">
        <v>0</v>
      </c>
      <c r="F4607">
        <v>0</v>
      </c>
      <c r="G4607">
        <v>0</v>
      </c>
      <c r="H4607">
        <v>0</v>
      </c>
      <c r="I4607" t="s">
        <v>22</v>
      </c>
      <c r="J4607" t="s">
        <v>22</v>
      </c>
    </row>
    <row r="4608" spans="1:10" x14ac:dyDescent="0.25">
      <c r="A4608" t="s">
        <v>2939</v>
      </c>
      <c r="B4608" t="s">
        <v>2940</v>
      </c>
      <c r="C4608">
        <v>0</v>
      </c>
      <c r="D4608">
        <v>0</v>
      </c>
      <c r="E4608">
        <v>0</v>
      </c>
      <c r="F4608">
        <v>0</v>
      </c>
      <c r="G4608">
        <v>0</v>
      </c>
      <c r="H4608">
        <v>0</v>
      </c>
      <c r="I4608" t="s">
        <v>22</v>
      </c>
      <c r="J4608" t="s">
        <v>22</v>
      </c>
    </row>
    <row r="4609" spans="1:10" x14ac:dyDescent="0.25">
      <c r="A4609" t="s">
        <v>2941</v>
      </c>
      <c r="B4609" t="s">
        <v>2942</v>
      </c>
      <c r="C4609">
        <v>0</v>
      </c>
      <c r="D4609">
        <v>0</v>
      </c>
      <c r="E4609">
        <v>0</v>
      </c>
      <c r="F4609">
        <v>0</v>
      </c>
      <c r="G4609">
        <v>0</v>
      </c>
      <c r="H4609">
        <v>0</v>
      </c>
      <c r="I4609" t="s">
        <v>22</v>
      </c>
      <c r="J4609" t="s">
        <v>22</v>
      </c>
    </row>
    <row r="4610" spans="1:10" x14ac:dyDescent="0.25">
      <c r="A4610" t="s">
        <v>2943</v>
      </c>
      <c r="B4610" t="s">
        <v>2944</v>
      </c>
      <c r="C4610">
        <v>0</v>
      </c>
      <c r="D4610">
        <v>0</v>
      </c>
      <c r="E4610">
        <v>0</v>
      </c>
      <c r="F4610">
        <v>0</v>
      </c>
      <c r="G4610">
        <v>0</v>
      </c>
      <c r="H4610">
        <v>0</v>
      </c>
      <c r="I4610" t="s">
        <v>22</v>
      </c>
      <c r="J4610" t="s">
        <v>22</v>
      </c>
    </row>
    <row r="4611" spans="1:10" x14ac:dyDescent="0.25">
      <c r="A4611" t="s">
        <v>2945</v>
      </c>
      <c r="B4611" t="s">
        <v>2946</v>
      </c>
      <c r="C4611">
        <v>0</v>
      </c>
      <c r="D4611">
        <v>0</v>
      </c>
      <c r="E4611">
        <v>0</v>
      </c>
      <c r="F4611">
        <v>0</v>
      </c>
      <c r="G4611">
        <v>0</v>
      </c>
      <c r="H4611">
        <v>0</v>
      </c>
      <c r="I4611" t="s">
        <v>22</v>
      </c>
      <c r="J4611" t="s">
        <v>22</v>
      </c>
    </row>
    <row r="4612" spans="1:10" x14ac:dyDescent="0.25">
      <c r="A4612" t="s">
        <v>2947</v>
      </c>
      <c r="B4612" t="s">
        <v>2948</v>
      </c>
      <c r="C4612">
        <v>0</v>
      </c>
      <c r="D4612">
        <v>0</v>
      </c>
      <c r="E4612">
        <v>0</v>
      </c>
      <c r="F4612">
        <v>0</v>
      </c>
      <c r="G4612">
        <v>0</v>
      </c>
      <c r="H4612">
        <v>0</v>
      </c>
      <c r="I4612" t="s">
        <v>22</v>
      </c>
      <c r="J4612" t="s">
        <v>22</v>
      </c>
    </row>
    <row r="4613" spans="1:10" x14ac:dyDescent="0.25">
      <c r="A4613" t="s">
        <v>2949</v>
      </c>
      <c r="B4613" t="s">
        <v>2950</v>
      </c>
      <c r="C4613">
        <v>0</v>
      </c>
      <c r="D4613">
        <v>0</v>
      </c>
      <c r="E4613">
        <v>0</v>
      </c>
      <c r="F4613">
        <v>0</v>
      </c>
      <c r="G4613">
        <v>0</v>
      </c>
      <c r="H4613">
        <v>0</v>
      </c>
      <c r="I4613" t="s">
        <v>22</v>
      </c>
      <c r="J4613" t="s">
        <v>22</v>
      </c>
    </row>
    <row r="4614" spans="1:10" x14ac:dyDescent="0.25">
      <c r="A4614" t="s">
        <v>2951</v>
      </c>
      <c r="B4614" t="s">
        <v>2952</v>
      </c>
      <c r="C4614">
        <v>0</v>
      </c>
      <c r="D4614">
        <v>0</v>
      </c>
      <c r="E4614">
        <v>0</v>
      </c>
      <c r="F4614">
        <v>0</v>
      </c>
      <c r="G4614">
        <v>0</v>
      </c>
      <c r="H4614">
        <v>0</v>
      </c>
      <c r="I4614" t="s">
        <v>22</v>
      </c>
      <c r="J4614" t="s">
        <v>22</v>
      </c>
    </row>
    <row r="4615" spans="1:10" x14ac:dyDescent="0.25">
      <c r="A4615" t="s">
        <v>2953</v>
      </c>
      <c r="B4615" t="s">
        <v>2954</v>
      </c>
      <c r="C4615">
        <v>0</v>
      </c>
      <c r="D4615">
        <v>0</v>
      </c>
      <c r="E4615">
        <v>0</v>
      </c>
      <c r="F4615">
        <v>0</v>
      </c>
      <c r="G4615">
        <v>0</v>
      </c>
      <c r="H4615">
        <v>0</v>
      </c>
      <c r="I4615" t="s">
        <v>22</v>
      </c>
      <c r="J4615" t="s">
        <v>22</v>
      </c>
    </row>
    <row r="4616" spans="1:10" x14ac:dyDescent="0.25">
      <c r="A4616" t="s">
        <v>2955</v>
      </c>
      <c r="B4616" t="s">
        <v>2956</v>
      </c>
      <c r="C4616">
        <v>0</v>
      </c>
      <c r="D4616">
        <v>0</v>
      </c>
      <c r="E4616">
        <v>0</v>
      </c>
      <c r="F4616">
        <v>0</v>
      </c>
      <c r="G4616">
        <v>0</v>
      </c>
      <c r="H4616">
        <v>0</v>
      </c>
      <c r="I4616" t="s">
        <v>22</v>
      </c>
      <c r="J4616" t="s">
        <v>22</v>
      </c>
    </row>
    <row r="4617" spans="1:10" x14ac:dyDescent="0.25">
      <c r="A4617" t="s">
        <v>2957</v>
      </c>
      <c r="B4617" t="s">
        <v>2958</v>
      </c>
      <c r="C4617">
        <v>0</v>
      </c>
      <c r="D4617">
        <v>0</v>
      </c>
      <c r="E4617">
        <v>0</v>
      </c>
      <c r="F4617">
        <v>0</v>
      </c>
      <c r="G4617">
        <v>0</v>
      </c>
      <c r="H4617">
        <v>0</v>
      </c>
      <c r="I4617" t="s">
        <v>22</v>
      </c>
      <c r="J4617" t="s">
        <v>22</v>
      </c>
    </row>
    <row r="4618" spans="1:10" x14ac:dyDescent="0.25">
      <c r="A4618" t="s">
        <v>2959</v>
      </c>
      <c r="B4618" t="s">
        <v>2960</v>
      </c>
      <c r="C4618">
        <v>0</v>
      </c>
      <c r="D4618">
        <v>0</v>
      </c>
      <c r="E4618">
        <v>0</v>
      </c>
      <c r="F4618">
        <v>0</v>
      </c>
      <c r="G4618">
        <v>0</v>
      </c>
      <c r="H4618">
        <v>0</v>
      </c>
      <c r="I4618" t="s">
        <v>22</v>
      </c>
      <c r="J4618" t="s">
        <v>22</v>
      </c>
    </row>
    <row r="4619" spans="1:10" x14ac:dyDescent="0.25">
      <c r="C4619" t="s">
        <v>108</v>
      </c>
      <c r="D4619" t="s">
        <v>108</v>
      </c>
      <c r="E4619" t="s">
        <v>108</v>
      </c>
      <c r="F4619" t="s">
        <v>108</v>
      </c>
      <c r="G4619" t="s">
        <v>108</v>
      </c>
    </row>
    <row r="4620" spans="1:10" x14ac:dyDescent="0.25">
      <c r="H4620" t="s">
        <v>22</v>
      </c>
      <c r="I4620" t="s">
        <v>22</v>
      </c>
      <c r="J4620" t="s">
        <v>22</v>
      </c>
    </row>
    <row r="4621" spans="1:10" x14ac:dyDescent="0.25">
      <c r="A4621" t="s">
        <v>109</v>
      </c>
    </row>
    <row r="4622" spans="1:10" x14ac:dyDescent="0.25">
      <c r="B4622" t="s">
        <v>2870</v>
      </c>
      <c r="C4622">
        <v>0</v>
      </c>
      <c r="D4622">
        <v>0</v>
      </c>
      <c r="E4622">
        <v>0</v>
      </c>
      <c r="F4622">
        <v>0</v>
      </c>
      <c r="G4622">
        <v>0</v>
      </c>
      <c r="H4622">
        <v>0</v>
      </c>
    </row>
    <row r="4624" spans="1:10" x14ac:dyDescent="0.25">
      <c r="A4624" t="s">
        <v>2788</v>
      </c>
      <c r="B4624" t="s">
        <v>2789</v>
      </c>
    </row>
    <row r="4625" spans="1:10" x14ac:dyDescent="0.25">
      <c r="A4625" t="s">
        <v>18</v>
      </c>
      <c r="B4625" t="s">
        <v>526</v>
      </c>
    </row>
    <row r="4626" spans="1:10" x14ac:dyDescent="0.25">
      <c r="A4626" t="s">
        <v>2961</v>
      </c>
      <c r="B4626" t="s">
        <v>2962</v>
      </c>
      <c r="C4626">
        <v>0</v>
      </c>
      <c r="D4626">
        <v>0</v>
      </c>
      <c r="E4626">
        <v>0</v>
      </c>
      <c r="F4626">
        <v>0</v>
      </c>
      <c r="G4626">
        <v>0</v>
      </c>
      <c r="H4626">
        <v>0</v>
      </c>
      <c r="I4626" t="s">
        <v>22</v>
      </c>
      <c r="J4626" t="s">
        <v>22</v>
      </c>
    </row>
    <row r="4627" spans="1:10" x14ac:dyDescent="0.25">
      <c r="A4627" t="s">
        <v>2963</v>
      </c>
      <c r="B4627" t="s">
        <v>2964</v>
      </c>
      <c r="C4627">
        <v>0</v>
      </c>
      <c r="D4627">
        <v>0</v>
      </c>
      <c r="E4627">
        <v>0</v>
      </c>
      <c r="F4627">
        <v>0</v>
      </c>
      <c r="G4627">
        <v>0</v>
      </c>
      <c r="H4627">
        <v>0</v>
      </c>
      <c r="I4627" t="s">
        <v>22</v>
      </c>
      <c r="J4627" t="s">
        <v>22</v>
      </c>
    </row>
    <row r="4628" spans="1:10" x14ac:dyDescent="0.25">
      <c r="A4628" t="s">
        <v>2965</v>
      </c>
      <c r="B4628" t="s">
        <v>2966</v>
      </c>
      <c r="C4628">
        <v>0</v>
      </c>
      <c r="D4628">
        <v>0</v>
      </c>
      <c r="E4628">
        <v>0</v>
      </c>
      <c r="F4628">
        <v>0</v>
      </c>
      <c r="G4628">
        <v>0</v>
      </c>
      <c r="H4628">
        <v>0</v>
      </c>
      <c r="I4628" t="s">
        <v>22</v>
      </c>
      <c r="J4628" t="s">
        <v>22</v>
      </c>
    </row>
    <row r="4629" spans="1:10" x14ac:dyDescent="0.25">
      <c r="A4629" t="s">
        <v>2967</v>
      </c>
      <c r="B4629" t="s">
        <v>2968</v>
      </c>
      <c r="C4629">
        <v>0</v>
      </c>
      <c r="D4629">
        <v>0</v>
      </c>
      <c r="E4629">
        <v>0</v>
      </c>
      <c r="F4629">
        <v>0</v>
      </c>
      <c r="G4629">
        <v>0</v>
      </c>
      <c r="H4629">
        <v>0</v>
      </c>
      <c r="I4629" t="s">
        <v>22</v>
      </c>
      <c r="J4629" t="s">
        <v>22</v>
      </c>
    </row>
    <row r="4630" spans="1:10" x14ac:dyDescent="0.25">
      <c r="A4630" t="s">
        <v>2969</v>
      </c>
      <c r="B4630" t="s">
        <v>2970</v>
      </c>
      <c r="C4630">
        <v>0</v>
      </c>
      <c r="D4630">
        <v>0</v>
      </c>
      <c r="E4630">
        <v>0</v>
      </c>
      <c r="F4630">
        <v>0</v>
      </c>
      <c r="G4630">
        <v>0</v>
      </c>
      <c r="H4630">
        <v>0</v>
      </c>
      <c r="I4630" t="s">
        <v>22</v>
      </c>
      <c r="J4630" t="s">
        <v>22</v>
      </c>
    </row>
    <row r="4631" spans="1:10" x14ac:dyDescent="0.25">
      <c r="A4631" t="s">
        <v>2971</v>
      </c>
      <c r="B4631" t="s">
        <v>2972</v>
      </c>
      <c r="C4631">
        <v>0</v>
      </c>
      <c r="D4631">
        <v>0</v>
      </c>
      <c r="E4631">
        <v>0</v>
      </c>
      <c r="F4631">
        <v>0</v>
      </c>
      <c r="G4631">
        <v>0</v>
      </c>
      <c r="H4631">
        <v>0</v>
      </c>
      <c r="I4631" t="s">
        <v>22</v>
      </c>
      <c r="J4631" t="s">
        <v>22</v>
      </c>
    </row>
    <row r="4632" spans="1:10" x14ac:dyDescent="0.25">
      <c r="A4632" t="s">
        <v>2973</v>
      </c>
      <c r="B4632" t="s">
        <v>2974</v>
      </c>
      <c r="C4632">
        <v>0</v>
      </c>
      <c r="D4632">
        <v>0</v>
      </c>
      <c r="E4632">
        <v>0</v>
      </c>
      <c r="F4632">
        <v>0</v>
      </c>
      <c r="G4632">
        <v>0</v>
      </c>
      <c r="H4632">
        <v>0</v>
      </c>
      <c r="I4632" t="s">
        <v>22</v>
      </c>
      <c r="J4632" t="s">
        <v>22</v>
      </c>
    </row>
    <row r="4633" spans="1:10" x14ac:dyDescent="0.25">
      <c r="A4633" t="s">
        <v>2975</v>
      </c>
      <c r="B4633" t="s">
        <v>2976</v>
      </c>
      <c r="C4633">
        <v>0</v>
      </c>
      <c r="D4633">
        <v>0</v>
      </c>
      <c r="E4633">
        <v>0</v>
      </c>
      <c r="F4633">
        <v>0</v>
      </c>
      <c r="G4633">
        <v>0</v>
      </c>
      <c r="H4633">
        <v>0</v>
      </c>
      <c r="I4633" t="s">
        <v>22</v>
      </c>
      <c r="J4633" t="s">
        <v>22</v>
      </c>
    </row>
    <row r="4634" spans="1:10" x14ac:dyDescent="0.25">
      <c r="A4634" t="s">
        <v>2977</v>
      </c>
      <c r="B4634" t="s">
        <v>2978</v>
      </c>
      <c r="C4634">
        <v>0</v>
      </c>
      <c r="D4634">
        <v>0</v>
      </c>
      <c r="E4634">
        <v>0</v>
      </c>
      <c r="F4634">
        <v>0</v>
      </c>
      <c r="G4634">
        <v>0</v>
      </c>
      <c r="H4634">
        <v>0</v>
      </c>
      <c r="I4634" t="s">
        <v>22</v>
      </c>
      <c r="J4634" t="s">
        <v>22</v>
      </c>
    </row>
    <row r="4635" spans="1:10" x14ac:dyDescent="0.25">
      <c r="A4635" t="s">
        <v>2979</v>
      </c>
      <c r="B4635" t="s">
        <v>2980</v>
      </c>
      <c r="C4635">
        <v>0</v>
      </c>
      <c r="D4635">
        <v>0</v>
      </c>
      <c r="E4635">
        <v>0</v>
      </c>
      <c r="F4635">
        <v>0</v>
      </c>
      <c r="G4635">
        <v>0</v>
      </c>
      <c r="H4635">
        <v>0</v>
      </c>
      <c r="I4635" t="s">
        <v>22</v>
      </c>
      <c r="J4635" t="s">
        <v>22</v>
      </c>
    </row>
    <row r="4636" spans="1:10" x14ac:dyDescent="0.25">
      <c r="A4636" t="s">
        <v>2981</v>
      </c>
      <c r="B4636" t="s">
        <v>2982</v>
      </c>
      <c r="C4636">
        <v>0</v>
      </c>
      <c r="D4636">
        <v>0</v>
      </c>
      <c r="E4636">
        <v>0</v>
      </c>
      <c r="F4636">
        <v>0</v>
      </c>
      <c r="G4636">
        <v>0</v>
      </c>
      <c r="H4636">
        <v>0</v>
      </c>
      <c r="I4636" t="s">
        <v>22</v>
      </c>
      <c r="J4636" t="s">
        <v>22</v>
      </c>
    </row>
    <row r="4637" spans="1:10" x14ac:dyDescent="0.25">
      <c r="A4637" t="s">
        <v>2983</v>
      </c>
      <c r="B4637" t="s">
        <v>2984</v>
      </c>
      <c r="C4637">
        <v>0</v>
      </c>
      <c r="D4637">
        <v>0</v>
      </c>
      <c r="E4637">
        <v>0</v>
      </c>
      <c r="F4637">
        <v>0</v>
      </c>
      <c r="G4637">
        <v>0</v>
      </c>
      <c r="H4637">
        <v>0</v>
      </c>
      <c r="I4637" t="s">
        <v>22</v>
      </c>
      <c r="J4637" t="s">
        <v>22</v>
      </c>
    </row>
    <row r="4638" spans="1:10" x14ac:dyDescent="0.25">
      <c r="A4638" t="s">
        <v>2985</v>
      </c>
      <c r="B4638" t="s">
        <v>2986</v>
      </c>
      <c r="C4638">
        <v>0</v>
      </c>
      <c r="D4638">
        <v>0</v>
      </c>
      <c r="E4638">
        <v>0</v>
      </c>
      <c r="F4638">
        <v>0</v>
      </c>
      <c r="G4638">
        <v>0</v>
      </c>
      <c r="H4638">
        <v>0</v>
      </c>
      <c r="I4638" t="s">
        <v>22</v>
      </c>
      <c r="J4638" t="s">
        <v>22</v>
      </c>
    </row>
    <row r="4639" spans="1:10" x14ac:dyDescent="0.25">
      <c r="A4639" t="s">
        <v>2987</v>
      </c>
      <c r="B4639" t="s">
        <v>2988</v>
      </c>
      <c r="C4639">
        <v>0</v>
      </c>
      <c r="D4639">
        <v>0</v>
      </c>
      <c r="E4639">
        <v>0</v>
      </c>
      <c r="F4639">
        <v>0</v>
      </c>
      <c r="G4639">
        <v>0</v>
      </c>
      <c r="H4639">
        <v>0</v>
      </c>
      <c r="I4639" t="s">
        <v>22</v>
      </c>
      <c r="J4639" t="s">
        <v>22</v>
      </c>
    </row>
    <row r="4640" spans="1:10" x14ac:dyDescent="0.25">
      <c r="A4640" t="s">
        <v>2989</v>
      </c>
      <c r="B4640" t="s">
        <v>2990</v>
      </c>
      <c r="C4640">
        <v>0</v>
      </c>
      <c r="D4640">
        <v>0</v>
      </c>
      <c r="E4640">
        <v>0</v>
      </c>
      <c r="F4640">
        <v>0</v>
      </c>
      <c r="G4640">
        <v>0</v>
      </c>
      <c r="H4640">
        <v>0</v>
      </c>
      <c r="I4640" t="s">
        <v>22</v>
      </c>
      <c r="J4640" t="s">
        <v>22</v>
      </c>
    </row>
    <row r="4641" spans="1:10" x14ac:dyDescent="0.25">
      <c r="A4641" t="s">
        <v>2991</v>
      </c>
      <c r="B4641" t="s">
        <v>2992</v>
      </c>
      <c r="C4641">
        <v>0</v>
      </c>
      <c r="D4641">
        <v>0</v>
      </c>
      <c r="E4641">
        <v>0</v>
      </c>
      <c r="F4641">
        <v>0</v>
      </c>
      <c r="G4641">
        <v>0</v>
      </c>
      <c r="H4641">
        <v>0</v>
      </c>
      <c r="I4641" t="s">
        <v>22</v>
      </c>
      <c r="J4641" t="s">
        <v>22</v>
      </c>
    </row>
    <row r="4642" spans="1:10" x14ac:dyDescent="0.25">
      <c r="A4642" t="s">
        <v>2993</v>
      </c>
      <c r="B4642" t="s">
        <v>2994</v>
      </c>
      <c r="C4642">
        <v>0</v>
      </c>
      <c r="D4642">
        <v>0</v>
      </c>
      <c r="E4642">
        <v>0</v>
      </c>
      <c r="F4642">
        <v>0</v>
      </c>
      <c r="G4642">
        <v>0</v>
      </c>
      <c r="H4642">
        <v>0</v>
      </c>
      <c r="I4642" t="s">
        <v>22</v>
      </c>
      <c r="J4642" t="s">
        <v>22</v>
      </c>
    </row>
    <row r="4643" spans="1:10" x14ac:dyDescent="0.25">
      <c r="A4643" t="s">
        <v>2995</v>
      </c>
      <c r="B4643" t="s">
        <v>2996</v>
      </c>
      <c r="C4643">
        <v>0</v>
      </c>
      <c r="D4643">
        <v>0</v>
      </c>
      <c r="E4643">
        <v>0</v>
      </c>
      <c r="F4643">
        <v>0</v>
      </c>
      <c r="G4643">
        <v>0</v>
      </c>
      <c r="H4643">
        <v>0</v>
      </c>
      <c r="I4643" t="s">
        <v>22</v>
      </c>
      <c r="J4643" t="s">
        <v>22</v>
      </c>
    </row>
    <row r="4644" spans="1:10" x14ac:dyDescent="0.25">
      <c r="A4644" t="s">
        <v>2997</v>
      </c>
      <c r="B4644" t="s">
        <v>2998</v>
      </c>
      <c r="C4644">
        <v>0</v>
      </c>
      <c r="D4644">
        <v>0</v>
      </c>
      <c r="E4644">
        <v>0</v>
      </c>
      <c r="F4644">
        <v>0</v>
      </c>
      <c r="G4644">
        <v>0</v>
      </c>
      <c r="H4644">
        <v>0</v>
      </c>
      <c r="I4644" t="s">
        <v>22</v>
      </c>
      <c r="J4644" t="s">
        <v>22</v>
      </c>
    </row>
    <row r="4645" spans="1:10" x14ac:dyDescent="0.25">
      <c r="A4645" t="s">
        <v>2999</v>
      </c>
      <c r="B4645" t="s">
        <v>3000</v>
      </c>
      <c r="C4645">
        <v>0</v>
      </c>
      <c r="D4645">
        <v>0</v>
      </c>
      <c r="E4645">
        <v>0</v>
      </c>
      <c r="F4645">
        <v>0</v>
      </c>
      <c r="G4645">
        <v>0</v>
      </c>
      <c r="H4645">
        <v>0</v>
      </c>
      <c r="I4645" t="s">
        <v>22</v>
      </c>
      <c r="J4645" t="s">
        <v>22</v>
      </c>
    </row>
    <row r="4646" spans="1:10" x14ac:dyDescent="0.25">
      <c r="A4646" t="s">
        <v>3001</v>
      </c>
      <c r="B4646" t="s">
        <v>3002</v>
      </c>
      <c r="C4646">
        <v>0</v>
      </c>
      <c r="D4646">
        <v>0</v>
      </c>
      <c r="E4646">
        <v>0</v>
      </c>
      <c r="F4646">
        <v>0</v>
      </c>
      <c r="G4646">
        <v>0</v>
      </c>
      <c r="H4646">
        <v>0</v>
      </c>
      <c r="I4646" t="s">
        <v>22</v>
      </c>
      <c r="J4646" t="s">
        <v>22</v>
      </c>
    </row>
    <row r="4647" spans="1:10" x14ac:dyDescent="0.25">
      <c r="A4647" t="s">
        <v>3003</v>
      </c>
      <c r="B4647" t="s">
        <v>3004</v>
      </c>
      <c r="C4647">
        <v>0</v>
      </c>
      <c r="D4647">
        <v>0</v>
      </c>
      <c r="E4647">
        <v>0</v>
      </c>
      <c r="F4647">
        <v>0</v>
      </c>
      <c r="G4647">
        <v>0</v>
      </c>
      <c r="H4647">
        <v>0</v>
      </c>
      <c r="I4647" t="s">
        <v>22</v>
      </c>
      <c r="J4647" t="s">
        <v>22</v>
      </c>
    </row>
    <row r="4648" spans="1:10" x14ac:dyDescent="0.25">
      <c r="A4648" t="s">
        <v>3005</v>
      </c>
      <c r="B4648" t="s">
        <v>3006</v>
      </c>
      <c r="C4648">
        <v>0</v>
      </c>
      <c r="D4648">
        <v>0</v>
      </c>
      <c r="E4648">
        <v>0</v>
      </c>
      <c r="F4648">
        <v>0</v>
      </c>
      <c r="G4648">
        <v>0</v>
      </c>
      <c r="H4648">
        <v>0</v>
      </c>
      <c r="I4648" t="s">
        <v>22</v>
      </c>
      <c r="J4648" t="s">
        <v>22</v>
      </c>
    </row>
    <row r="4649" spans="1:10" x14ac:dyDescent="0.25">
      <c r="A4649" t="s">
        <v>3007</v>
      </c>
      <c r="B4649" t="s">
        <v>3008</v>
      </c>
      <c r="C4649">
        <v>0</v>
      </c>
      <c r="D4649">
        <v>0</v>
      </c>
      <c r="E4649">
        <v>0</v>
      </c>
      <c r="F4649">
        <v>0</v>
      </c>
      <c r="G4649">
        <v>0</v>
      </c>
      <c r="H4649">
        <v>0</v>
      </c>
      <c r="I4649" t="s">
        <v>22</v>
      </c>
      <c r="J4649" t="s">
        <v>22</v>
      </c>
    </row>
    <row r="4650" spans="1:10" x14ac:dyDescent="0.25">
      <c r="A4650" t="s">
        <v>3009</v>
      </c>
      <c r="B4650" t="s">
        <v>3010</v>
      </c>
      <c r="C4650">
        <v>0</v>
      </c>
      <c r="D4650">
        <v>0</v>
      </c>
      <c r="E4650">
        <v>0</v>
      </c>
      <c r="F4650">
        <v>0</v>
      </c>
      <c r="G4650">
        <v>0</v>
      </c>
      <c r="H4650">
        <v>0</v>
      </c>
      <c r="I4650" t="s">
        <v>22</v>
      </c>
      <c r="J4650" t="s">
        <v>22</v>
      </c>
    </row>
    <row r="4651" spans="1:10" x14ac:dyDescent="0.25">
      <c r="A4651" t="s">
        <v>3011</v>
      </c>
      <c r="B4651" t="s">
        <v>3012</v>
      </c>
      <c r="C4651">
        <v>0</v>
      </c>
      <c r="D4651">
        <v>0</v>
      </c>
      <c r="E4651">
        <v>0</v>
      </c>
      <c r="F4651">
        <v>0</v>
      </c>
      <c r="G4651">
        <v>0</v>
      </c>
      <c r="H4651">
        <v>0</v>
      </c>
      <c r="I4651" t="s">
        <v>22</v>
      </c>
      <c r="J4651" t="s">
        <v>22</v>
      </c>
    </row>
    <row r="4652" spans="1:10" x14ac:dyDescent="0.25">
      <c r="A4652" t="s">
        <v>3013</v>
      </c>
      <c r="B4652" t="s">
        <v>3014</v>
      </c>
      <c r="C4652">
        <v>0</v>
      </c>
      <c r="D4652">
        <v>0</v>
      </c>
      <c r="E4652">
        <v>0</v>
      </c>
      <c r="F4652">
        <v>0</v>
      </c>
      <c r="G4652">
        <v>0</v>
      </c>
      <c r="H4652">
        <v>0</v>
      </c>
      <c r="I4652" t="s">
        <v>22</v>
      </c>
      <c r="J4652" t="s">
        <v>22</v>
      </c>
    </row>
    <row r="4653" spans="1:10" x14ac:dyDescent="0.25">
      <c r="A4653" t="s">
        <v>3015</v>
      </c>
      <c r="B4653" t="s">
        <v>3016</v>
      </c>
      <c r="C4653">
        <v>0</v>
      </c>
      <c r="D4653">
        <v>0</v>
      </c>
      <c r="E4653">
        <v>0</v>
      </c>
      <c r="F4653">
        <v>0</v>
      </c>
      <c r="G4653">
        <v>0</v>
      </c>
      <c r="H4653">
        <v>0</v>
      </c>
      <c r="I4653" t="s">
        <v>22</v>
      </c>
      <c r="J4653" t="s">
        <v>22</v>
      </c>
    </row>
    <row r="4654" spans="1:10" x14ac:dyDescent="0.25">
      <c r="A4654" t="s">
        <v>3017</v>
      </c>
      <c r="B4654" t="s">
        <v>3018</v>
      </c>
      <c r="C4654">
        <v>0</v>
      </c>
      <c r="D4654">
        <v>0</v>
      </c>
      <c r="E4654">
        <v>0</v>
      </c>
      <c r="F4654">
        <v>0</v>
      </c>
      <c r="G4654">
        <v>0</v>
      </c>
      <c r="H4654">
        <v>0</v>
      </c>
      <c r="I4654" t="s">
        <v>22</v>
      </c>
      <c r="J4654" t="s">
        <v>22</v>
      </c>
    </row>
    <row r="4655" spans="1:10" x14ac:dyDescent="0.25">
      <c r="A4655" t="s">
        <v>3019</v>
      </c>
      <c r="B4655" t="s">
        <v>3020</v>
      </c>
      <c r="C4655">
        <v>0</v>
      </c>
      <c r="D4655">
        <v>0</v>
      </c>
      <c r="E4655">
        <v>0</v>
      </c>
      <c r="F4655">
        <v>0</v>
      </c>
      <c r="G4655">
        <v>0</v>
      </c>
      <c r="H4655">
        <v>0</v>
      </c>
      <c r="I4655" t="s">
        <v>22</v>
      </c>
      <c r="J4655" t="s">
        <v>22</v>
      </c>
    </row>
    <row r="4656" spans="1:10" x14ac:dyDescent="0.25">
      <c r="A4656" t="s">
        <v>3021</v>
      </c>
      <c r="B4656" t="s">
        <v>3022</v>
      </c>
      <c r="C4656">
        <v>0</v>
      </c>
      <c r="D4656">
        <v>0</v>
      </c>
      <c r="E4656">
        <v>0</v>
      </c>
      <c r="F4656">
        <v>0</v>
      </c>
      <c r="G4656">
        <v>0</v>
      </c>
      <c r="H4656">
        <v>0</v>
      </c>
      <c r="I4656" t="s">
        <v>22</v>
      </c>
      <c r="J4656" t="s">
        <v>22</v>
      </c>
    </row>
    <row r="4657" spans="1:10" x14ac:dyDescent="0.25">
      <c r="A4657" t="s">
        <v>3023</v>
      </c>
      <c r="B4657" t="s">
        <v>3024</v>
      </c>
      <c r="C4657">
        <v>0</v>
      </c>
      <c r="D4657">
        <v>0</v>
      </c>
      <c r="E4657">
        <v>0</v>
      </c>
      <c r="F4657">
        <v>0</v>
      </c>
      <c r="G4657">
        <v>0</v>
      </c>
      <c r="H4657">
        <v>0</v>
      </c>
      <c r="I4657" t="s">
        <v>22</v>
      </c>
      <c r="J4657" t="s">
        <v>22</v>
      </c>
    </row>
    <row r="4658" spans="1:10" x14ac:dyDescent="0.25">
      <c r="A4658" t="s">
        <v>3025</v>
      </c>
      <c r="B4658" t="s">
        <v>3026</v>
      </c>
      <c r="C4658">
        <v>0</v>
      </c>
      <c r="D4658">
        <v>0</v>
      </c>
      <c r="E4658">
        <v>0</v>
      </c>
      <c r="F4658">
        <v>0</v>
      </c>
      <c r="G4658">
        <v>0</v>
      </c>
      <c r="H4658">
        <v>0</v>
      </c>
      <c r="I4658" t="s">
        <v>22</v>
      </c>
      <c r="J4658" t="s">
        <v>22</v>
      </c>
    </row>
    <row r="4659" spans="1:10" x14ac:dyDescent="0.25">
      <c r="A4659" t="s">
        <v>3027</v>
      </c>
      <c r="B4659" t="s">
        <v>3028</v>
      </c>
      <c r="C4659">
        <v>0</v>
      </c>
      <c r="D4659">
        <v>0</v>
      </c>
      <c r="E4659">
        <v>0</v>
      </c>
      <c r="F4659">
        <v>0</v>
      </c>
      <c r="G4659">
        <v>0</v>
      </c>
      <c r="H4659">
        <v>0</v>
      </c>
      <c r="I4659" t="s">
        <v>22</v>
      </c>
      <c r="J4659" t="s">
        <v>22</v>
      </c>
    </row>
    <row r="4660" spans="1:10" x14ac:dyDescent="0.25">
      <c r="A4660" t="s">
        <v>3029</v>
      </c>
      <c r="B4660" t="s">
        <v>3030</v>
      </c>
      <c r="C4660">
        <v>0</v>
      </c>
      <c r="D4660">
        <v>0</v>
      </c>
      <c r="E4660">
        <v>0</v>
      </c>
      <c r="F4660">
        <v>0</v>
      </c>
      <c r="G4660">
        <v>0</v>
      </c>
      <c r="H4660">
        <v>0</v>
      </c>
      <c r="I4660" t="s">
        <v>22</v>
      </c>
      <c r="J4660" t="s">
        <v>22</v>
      </c>
    </row>
    <row r="4661" spans="1:10" x14ac:dyDescent="0.25">
      <c r="A4661" t="s">
        <v>110</v>
      </c>
    </row>
    <row r="4662" spans="1:10" x14ac:dyDescent="0.25">
      <c r="A4662" s="1">
        <v>43991</v>
      </c>
      <c r="B4662" t="s">
        <v>1615</v>
      </c>
      <c r="D4662" t="s">
        <v>112</v>
      </c>
      <c r="E4662" t="s">
        <v>113</v>
      </c>
      <c r="F4662" t="s">
        <v>114</v>
      </c>
      <c r="J4662" t="s">
        <v>479</v>
      </c>
    </row>
    <row r="4663" spans="1:10" x14ac:dyDescent="0.25">
      <c r="D4663" t="s">
        <v>116</v>
      </c>
      <c r="E4663" t="s">
        <v>117</v>
      </c>
      <c r="F4663" t="s">
        <v>118</v>
      </c>
    </row>
    <row r="4664" spans="1:10" x14ac:dyDescent="0.25">
      <c r="D4664" t="s">
        <v>119</v>
      </c>
      <c r="E4664" t="s">
        <v>120</v>
      </c>
      <c r="F4664" t="s">
        <v>121</v>
      </c>
    </row>
    <row r="4665" spans="1:10" x14ac:dyDescent="0.25">
      <c r="A4665" t="s">
        <v>2612</v>
      </c>
      <c r="B4665" t="s">
        <v>2613</v>
      </c>
    </row>
    <row r="4666" spans="1:10" x14ac:dyDescent="0.25">
      <c r="A4666" t="s">
        <v>386</v>
      </c>
    </row>
    <row r="4667" spans="1:10" x14ac:dyDescent="0.25">
      <c r="F4667" t="s">
        <v>2</v>
      </c>
      <c r="G4667" t="s">
        <v>3</v>
      </c>
      <c r="H4667" t="s">
        <v>4</v>
      </c>
      <c r="I4667" t="s">
        <v>5</v>
      </c>
      <c r="J4667" t="s">
        <v>6</v>
      </c>
    </row>
    <row r="4668" spans="1:10" x14ac:dyDescent="0.25">
      <c r="C4668" t="s">
        <v>7</v>
      </c>
      <c r="D4668" t="s">
        <v>8</v>
      </c>
      <c r="E4668" t="s">
        <v>9</v>
      </c>
      <c r="F4668" t="s">
        <v>10</v>
      </c>
      <c r="G4668" t="s">
        <v>124</v>
      </c>
      <c r="H4668" t="s">
        <v>12</v>
      </c>
      <c r="I4668" t="s">
        <v>13</v>
      </c>
      <c r="J4668" t="s">
        <v>14</v>
      </c>
    </row>
    <row r="4669" spans="1:10" x14ac:dyDescent="0.25">
      <c r="C4669" t="s">
        <v>15</v>
      </c>
      <c r="D4669" t="s">
        <v>15</v>
      </c>
      <c r="E4669" t="s">
        <v>15</v>
      </c>
      <c r="F4669" t="s">
        <v>16</v>
      </c>
      <c r="G4669" t="s">
        <v>15</v>
      </c>
      <c r="H4669" t="s">
        <v>17</v>
      </c>
      <c r="I4669" t="s">
        <v>16</v>
      </c>
      <c r="J4669" t="s">
        <v>16</v>
      </c>
    </row>
    <row r="4670" spans="1:10" x14ac:dyDescent="0.25">
      <c r="A4670" t="s">
        <v>18</v>
      </c>
      <c r="B4670" t="s">
        <v>19</v>
      </c>
      <c r="C4670" t="s">
        <v>20</v>
      </c>
      <c r="D4670" t="s">
        <v>21</v>
      </c>
      <c r="E4670" t="s">
        <v>22</v>
      </c>
      <c r="F4670" t="s">
        <v>23</v>
      </c>
      <c r="G4670" t="s">
        <v>24</v>
      </c>
      <c r="H4670" t="s">
        <v>20</v>
      </c>
      <c r="I4670" t="s">
        <v>24</v>
      </c>
      <c r="J4670" t="s">
        <v>20</v>
      </c>
    </row>
    <row r="4671" spans="1:10" x14ac:dyDescent="0.25">
      <c r="A4671" t="s">
        <v>3031</v>
      </c>
      <c r="B4671" t="s">
        <v>3032</v>
      </c>
      <c r="C4671">
        <v>0</v>
      </c>
      <c r="D4671">
        <v>0</v>
      </c>
      <c r="E4671">
        <v>0</v>
      </c>
      <c r="F4671">
        <v>0</v>
      </c>
      <c r="G4671">
        <v>0</v>
      </c>
      <c r="H4671">
        <v>0</v>
      </c>
      <c r="I4671" t="s">
        <v>22</v>
      </c>
      <c r="J4671" t="s">
        <v>22</v>
      </c>
    </row>
    <row r="4672" spans="1:10" x14ac:dyDescent="0.25">
      <c r="A4672" t="s">
        <v>3033</v>
      </c>
      <c r="B4672" t="s">
        <v>3034</v>
      </c>
      <c r="C4672">
        <v>0</v>
      </c>
      <c r="D4672">
        <v>0</v>
      </c>
      <c r="E4672">
        <v>0</v>
      </c>
      <c r="F4672">
        <v>0</v>
      </c>
      <c r="G4672">
        <v>0</v>
      </c>
      <c r="H4672">
        <v>0</v>
      </c>
      <c r="I4672" t="s">
        <v>22</v>
      </c>
      <c r="J4672" t="s">
        <v>22</v>
      </c>
    </row>
    <row r="4673" spans="1:10" x14ac:dyDescent="0.25">
      <c r="A4673" t="s">
        <v>3035</v>
      </c>
      <c r="B4673" t="s">
        <v>3036</v>
      </c>
      <c r="C4673">
        <v>0</v>
      </c>
      <c r="D4673">
        <v>0</v>
      </c>
      <c r="E4673">
        <v>0</v>
      </c>
      <c r="F4673">
        <v>0</v>
      </c>
      <c r="G4673">
        <v>0</v>
      </c>
      <c r="H4673">
        <v>0</v>
      </c>
      <c r="I4673" t="s">
        <v>22</v>
      </c>
      <c r="J4673" t="s">
        <v>22</v>
      </c>
    </row>
    <row r="4674" spans="1:10" x14ac:dyDescent="0.25">
      <c r="A4674" t="s">
        <v>3037</v>
      </c>
      <c r="B4674" t="s">
        <v>3038</v>
      </c>
      <c r="C4674">
        <v>0</v>
      </c>
      <c r="D4674">
        <v>0</v>
      </c>
      <c r="E4674">
        <v>0</v>
      </c>
      <c r="F4674">
        <v>0</v>
      </c>
      <c r="G4674">
        <v>0</v>
      </c>
      <c r="H4674">
        <v>0</v>
      </c>
      <c r="I4674" t="s">
        <v>22</v>
      </c>
      <c r="J4674" t="s">
        <v>22</v>
      </c>
    </row>
    <row r="4675" spans="1:10" x14ac:dyDescent="0.25">
      <c r="A4675" t="s">
        <v>3039</v>
      </c>
      <c r="B4675" t="s">
        <v>3040</v>
      </c>
      <c r="C4675">
        <v>0</v>
      </c>
      <c r="D4675">
        <v>0</v>
      </c>
      <c r="E4675">
        <v>0</v>
      </c>
      <c r="F4675">
        <v>0</v>
      </c>
      <c r="G4675">
        <v>0</v>
      </c>
      <c r="H4675">
        <v>0</v>
      </c>
      <c r="I4675" t="s">
        <v>22</v>
      </c>
      <c r="J4675" t="s">
        <v>22</v>
      </c>
    </row>
    <row r="4676" spans="1:10" x14ac:dyDescent="0.25">
      <c r="A4676" t="s">
        <v>3041</v>
      </c>
      <c r="B4676" t="s">
        <v>3042</v>
      </c>
      <c r="C4676">
        <v>0</v>
      </c>
      <c r="D4676">
        <v>0</v>
      </c>
      <c r="E4676">
        <v>0</v>
      </c>
      <c r="F4676">
        <v>0</v>
      </c>
      <c r="G4676">
        <v>0</v>
      </c>
      <c r="H4676">
        <v>0</v>
      </c>
      <c r="I4676" t="s">
        <v>22</v>
      </c>
      <c r="J4676" t="s">
        <v>22</v>
      </c>
    </row>
    <row r="4677" spans="1:10" x14ac:dyDescent="0.25">
      <c r="A4677" t="s">
        <v>3043</v>
      </c>
      <c r="B4677" t="s">
        <v>3044</v>
      </c>
      <c r="C4677">
        <v>0</v>
      </c>
      <c r="D4677">
        <v>0</v>
      </c>
      <c r="E4677">
        <v>0</v>
      </c>
      <c r="F4677">
        <v>0</v>
      </c>
      <c r="G4677">
        <v>0</v>
      </c>
      <c r="H4677">
        <v>0</v>
      </c>
      <c r="I4677" t="s">
        <v>22</v>
      </c>
      <c r="J4677" t="s">
        <v>22</v>
      </c>
    </row>
    <row r="4678" spans="1:10" x14ac:dyDescent="0.25">
      <c r="A4678" t="s">
        <v>3045</v>
      </c>
      <c r="B4678" t="s">
        <v>3046</v>
      </c>
      <c r="C4678">
        <v>0</v>
      </c>
      <c r="D4678">
        <v>0</v>
      </c>
      <c r="E4678">
        <v>0</v>
      </c>
      <c r="F4678">
        <v>0</v>
      </c>
      <c r="G4678">
        <v>0</v>
      </c>
      <c r="H4678">
        <v>0</v>
      </c>
      <c r="I4678" t="s">
        <v>22</v>
      </c>
      <c r="J4678" t="s">
        <v>22</v>
      </c>
    </row>
    <row r="4679" spans="1:10" x14ac:dyDescent="0.25">
      <c r="A4679" t="s">
        <v>3047</v>
      </c>
      <c r="B4679" t="s">
        <v>3048</v>
      </c>
      <c r="C4679">
        <v>0</v>
      </c>
      <c r="D4679">
        <v>0</v>
      </c>
      <c r="E4679">
        <v>0</v>
      </c>
      <c r="F4679">
        <v>0</v>
      </c>
      <c r="G4679">
        <v>0</v>
      </c>
      <c r="H4679">
        <v>0</v>
      </c>
      <c r="I4679" t="s">
        <v>22</v>
      </c>
      <c r="J4679" t="s">
        <v>22</v>
      </c>
    </row>
    <row r="4680" spans="1:10" x14ac:dyDescent="0.25">
      <c r="A4680" t="s">
        <v>3049</v>
      </c>
      <c r="B4680" t="s">
        <v>3050</v>
      </c>
      <c r="C4680">
        <v>0</v>
      </c>
      <c r="D4680">
        <v>0</v>
      </c>
      <c r="E4680">
        <v>0</v>
      </c>
      <c r="F4680">
        <v>0</v>
      </c>
      <c r="G4680">
        <v>0</v>
      </c>
      <c r="H4680">
        <v>0</v>
      </c>
      <c r="I4680" t="s">
        <v>22</v>
      </c>
      <c r="J4680" t="s">
        <v>22</v>
      </c>
    </row>
    <row r="4681" spans="1:10" x14ac:dyDescent="0.25">
      <c r="A4681" t="s">
        <v>3051</v>
      </c>
      <c r="B4681" t="s">
        <v>3052</v>
      </c>
      <c r="C4681">
        <v>0</v>
      </c>
      <c r="D4681">
        <v>0</v>
      </c>
      <c r="E4681">
        <v>0</v>
      </c>
      <c r="F4681">
        <v>0</v>
      </c>
      <c r="G4681">
        <v>0</v>
      </c>
      <c r="H4681">
        <v>0</v>
      </c>
      <c r="I4681" t="s">
        <v>22</v>
      </c>
      <c r="J4681" t="s">
        <v>22</v>
      </c>
    </row>
    <row r="4682" spans="1:10" x14ac:dyDescent="0.25">
      <c r="A4682" t="s">
        <v>3053</v>
      </c>
      <c r="B4682" t="s">
        <v>3054</v>
      </c>
      <c r="C4682">
        <v>0</v>
      </c>
      <c r="D4682">
        <v>0</v>
      </c>
      <c r="E4682">
        <v>0</v>
      </c>
      <c r="F4682">
        <v>0</v>
      </c>
      <c r="G4682">
        <v>0</v>
      </c>
      <c r="H4682">
        <v>0</v>
      </c>
      <c r="I4682" t="s">
        <v>22</v>
      </c>
      <c r="J4682" t="s">
        <v>22</v>
      </c>
    </row>
    <row r="4683" spans="1:10" x14ac:dyDescent="0.25">
      <c r="A4683" t="s">
        <v>3055</v>
      </c>
      <c r="B4683" t="s">
        <v>3056</v>
      </c>
      <c r="C4683">
        <v>0</v>
      </c>
      <c r="D4683">
        <v>0</v>
      </c>
      <c r="E4683">
        <v>0</v>
      </c>
      <c r="F4683">
        <v>0</v>
      </c>
      <c r="G4683">
        <v>0</v>
      </c>
      <c r="H4683">
        <v>0</v>
      </c>
      <c r="I4683" t="s">
        <v>22</v>
      </c>
      <c r="J4683" t="s">
        <v>22</v>
      </c>
    </row>
    <row r="4684" spans="1:10" x14ac:dyDescent="0.25">
      <c r="A4684" t="s">
        <v>3057</v>
      </c>
      <c r="B4684" t="s">
        <v>3058</v>
      </c>
      <c r="C4684">
        <v>0</v>
      </c>
      <c r="D4684">
        <v>0</v>
      </c>
      <c r="E4684">
        <v>0</v>
      </c>
      <c r="F4684">
        <v>0</v>
      </c>
      <c r="G4684">
        <v>0</v>
      </c>
      <c r="H4684">
        <v>0</v>
      </c>
      <c r="I4684" t="s">
        <v>22</v>
      </c>
      <c r="J4684" t="s">
        <v>22</v>
      </c>
    </row>
    <row r="4685" spans="1:10" x14ac:dyDescent="0.25">
      <c r="A4685" t="s">
        <v>3059</v>
      </c>
      <c r="B4685" t="s">
        <v>3060</v>
      </c>
      <c r="C4685">
        <v>0</v>
      </c>
      <c r="D4685">
        <v>0</v>
      </c>
      <c r="E4685">
        <v>0</v>
      </c>
      <c r="F4685">
        <v>0</v>
      </c>
      <c r="G4685">
        <v>0</v>
      </c>
      <c r="H4685">
        <v>0</v>
      </c>
      <c r="I4685" t="s">
        <v>22</v>
      </c>
      <c r="J4685" t="s">
        <v>22</v>
      </c>
    </row>
    <row r="4686" spans="1:10" x14ac:dyDescent="0.25">
      <c r="A4686" t="s">
        <v>3061</v>
      </c>
      <c r="B4686" t="s">
        <v>3062</v>
      </c>
      <c r="C4686">
        <v>0</v>
      </c>
      <c r="D4686">
        <v>0</v>
      </c>
      <c r="E4686">
        <v>0</v>
      </c>
      <c r="F4686">
        <v>0</v>
      </c>
      <c r="G4686">
        <v>0</v>
      </c>
      <c r="H4686">
        <v>0</v>
      </c>
      <c r="I4686" t="s">
        <v>22</v>
      </c>
      <c r="J4686" t="s">
        <v>22</v>
      </c>
    </row>
    <row r="4687" spans="1:10" x14ac:dyDescent="0.25">
      <c r="A4687" t="s">
        <v>3063</v>
      </c>
      <c r="B4687" t="s">
        <v>3064</v>
      </c>
      <c r="C4687">
        <v>0</v>
      </c>
      <c r="D4687">
        <v>0</v>
      </c>
      <c r="E4687">
        <v>0</v>
      </c>
      <c r="F4687">
        <v>0</v>
      </c>
      <c r="G4687">
        <v>0</v>
      </c>
      <c r="H4687">
        <v>0</v>
      </c>
      <c r="I4687" t="s">
        <v>22</v>
      </c>
      <c r="J4687" t="s">
        <v>22</v>
      </c>
    </row>
    <row r="4688" spans="1:10" x14ac:dyDescent="0.25">
      <c r="A4688" t="s">
        <v>3065</v>
      </c>
      <c r="B4688" t="s">
        <v>3066</v>
      </c>
      <c r="C4688">
        <v>0</v>
      </c>
      <c r="D4688">
        <v>0</v>
      </c>
      <c r="E4688">
        <v>0</v>
      </c>
      <c r="F4688">
        <v>0</v>
      </c>
      <c r="G4688">
        <v>0</v>
      </c>
      <c r="H4688">
        <v>0</v>
      </c>
      <c r="I4688" t="s">
        <v>22</v>
      </c>
      <c r="J4688" t="s">
        <v>22</v>
      </c>
    </row>
    <row r="4689" spans="1:10" x14ac:dyDescent="0.25">
      <c r="A4689" t="s">
        <v>3067</v>
      </c>
      <c r="B4689" t="s">
        <v>3068</v>
      </c>
      <c r="C4689">
        <v>0</v>
      </c>
      <c r="D4689">
        <v>0</v>
      </c>
      <c r="E4689">
        <v>0</v>
      </c>
      <c r="F4689">
        <v>0</v>
      </c>
      <c r="G4689">
        <v>0</v>
      </c>
      <c r="H4689">
        <v>0</v>
      </c>
      <c r="I4689" t="s">
        <v>22</v>
      </c>
      <c r="J4689" t="s">
        <v>22</v>
      </c>
    </row>
    <row r="4690" spans="1:10" x14ac:dyDescent="0.25">
      <c r="A4690" t="s">
        <v>3069</v>
      </c>
      <c r="B4690" t="s">
        <v>3070</v>
      </c>
      <c r="C4690">
        <v>0</v>
      </c>
      <c r="D4690">
        <v>0</v>
      </c>
      <c r="E4690">
        <v>0</v>
      </c>
      <c r="F4690">
        <v>0</v>
      </c>
      <c r="G4690">
        <v>0</v>
      </c>
      <c r="H4690">
        <v>0</v>
      </c>
      <c r="I4690" t="s">
        <v>22</v>
      </c>
      <c r="J4690" t="s">
        <v>22</v>
      </c>
    </row>
    <row r="4691" spans="1:10" x14ac:dyDescent="0.25">
      <c r="A4691" t="s">
        <v>3071</v>
      </c>
      <c r="B4691" t="s">
        <v>3072</v>
      </c>
      <c r="C4691">
        <v>0</v>
      </c>
      <c r="D4691">
        <v>0</v>
      </c>
      <c r="E4691">
        <v>0</v>
      </c>
      <c r="F4691">
        <v>0</v>
      </c>
      <c r="G4691">
        <v>0</v>
      </c>
      <c r="H4691">
        <v>0</v>
      </c>
      <c r="I4691" t="s">
        <v>22</v>
      </c>
      <c r="J4691" t="s">
        <v>22</v>
      </c>
    </row>
    <row r="4692" spans="1:10" x14ac:dyDescent="0.25">
      <c r="A4692" t="s">
        <v>3073</v>
      </c>
      <c r="B4692" t="s">
        <v>3074</v>
      </c>
      <c r="C4692">
        <v>0</v>
      </c>
      <c r="D4692">
        <v>0</v>
      </c>
      <c r="E4692">
        <v>0</v>
      </c>
      <c r="F4692">
        <v>0</v>
      </c>
      <c r="G4692">
        <v>0</v>
      </c>
      <c r="H4692">
        <v>0</v>
      </c>
      <c r="I4692" t="s">
        <v>22</v>
      </c>
      <c r="J4692" t="s">
        <v>22</v>
      </c>
    </row>
    <row r="4693" spans="1:10" x14ac:dyDescent="0.25">
      <c r="A4693" t="s">
        <v>3075</v>
      </c>
      <c r="B4693" t="s">
        <v>3076</v>
      </c>
      <c r="C4693">
        <v>0</v>
      </c>
      <c r="D4693">
        <v>0</v>
      </c>
      <c r="E4693">
        <v>0</v>
      </c>
      <c r="F4693">
        <v>0</v>
      </c>
      <c r="G4693">
        <v>0</v>
      </c>
      <c r="H4693">
        <v>0</v>
      </c>
      <c r="I4693" t="s">
        <v>22</v>
      </c>
      <c r="J4693" t="s">
        <v>22</v>
      </c>
    </row>
    <row r="4694" spans="1:10" x14ac:dyDescent="0.25">
      <c r="A4694" t="s">
        <v>3077</v>
      </c>
      <c r="B4694" t="s">
        <v>3078</v>
      </c>
      <c r="C4694">
        <v>0</v>
      </c>
      <c r="D4694">
        <v>0</v>
      </c>
      <c r="E4694">
        <v>0</v>
      </c>
      <c r="F4694">
        <v>0</v>
      </c>
      <c r="G4694">
        <v>0</v>
      </c>
      <c r="H4694">
        <v>0</v>
      </c>
      <c r="I4694" t="s">
        <v>22</v>
      </c>
      <c r="J4694" t="s">
        <v>22</v>
      </c>
    </row>
    <row r="4695" spans="1:10" x14ac:dyDescent="0.25">
      <c r="A4695" t="s">
        <v>3079</v>
      </c>
      <c r="B4695" t="s">
        <v>3080</v>
      </c>
      <c r="C4695">
        <v>0</v>
      </c>
      <c r="D4695">
        <v>0</v>
      </c>
      <c r="E4695">
        <v>0</v>
      </c>
      <c r="F4695">
        <v>0</v>
      </c>
      <c r="G4695">
        <v>0</v>
      </c>
      <c r="H4695">
        <v>0</v>
      </c>
      <c r="I4695" t="s">
        <v>22</v>
      </c>
      <c r="J4695" t="s">
        <v>22</v>
      </c>
    </row>
    <row r="4696" spans="1:10" x14ac:dyDescent="0.25">
      <c r="A4696" t="s">
        <v>3081</v>
      </c>
      <c r="B4696" t="s">
        <v>3082</v>
      </c>
      <c r="C4696">
        <v>0</v>
      </c>
      <c r="D4696">
        <v>0</v>
      </c>
      <c r="E4696">
        <v>0</v>
      </c>
      <c r="F4696">
        <v>0</v>
      </c>
      <c r="G4696">
        <v>0</v>
      </c>
      <c r="H4696">
        <v>0</v>
      </c>
      <c r="I4696" t="s">
        <v>22</v>
      </c>
      <c r="J4696" t="s">
        <v>22</v>
      </c>
    </row>
    <row r="4697" spans="1:10" x14ac:dyDescent="0.25">
      <c r="A4697" t="s">
        <v>3083</v>
      </c>
      <c r="B4697" t="s">
        <v>3084</v>
      </c>
      <c r="C4697">
        <v>0</v>
      </c>
      <c r="D4697">
        <v>0</v>
      </c>
      <c r="E4697">
        <v>0</v>
      </c>
      <c r="F4697">
        <v>0</v>
      </c>
      <c r="G4697">
        <v>0</v>
      </c>
      <c r="H4697">
        <v>0</v>
      </c>
      <c r="I4697" t="s">
        <v>22</v>
      </c>
      <c r="J4697" t="s">
        <v>22</v>
      </c>
    </row>
    <row r="4698" spans="1:10" x14ac:dyDescent="0.25">
      <c r="A4698" t="s">
        <v>3085</v>
      </c>
      <c r="B4698" t="s">
        <v>3086</v>
      </c>
      <c r="C4698">
        <v>0</v>
      </c>
      <c r="D4698">
        <v>0</v>
      </c>
      <c r="E4698">
        <v>0</v>
      </c>
      <c r="F4698">
        <v>0</v>
      </c>
      <c r="G4698">
        <v>0</v>
      </c>
      <c r="H4698">
        <v>0</v>
      </c>
      <c r="I4698" t="s">
        <v>22</v>
      </c>
      <c r="J4698" t="s">
        <v>22</v>
      </c>
    </row>
    <row r="4699" spans="1:10" x14ac:dyDescent="0.25">
      <c r="A4699" t="s">
        <v>3087</v>
      </c>
      <c r="B4699" t="s">
        <v>3088</v>
      </c>
      <c r="C4699">
        <v>0</v>
      </c>
      <c r="D4699">
        <v>0</v>
      </c>
      <c r="E4699">
        <v>0</v>
      </c>
      <c r="F4699">
        <v>0</v>
      </c>
      <c r="G4699">
        <v>0</v>
      </c>
      <c r="H4699">
        <v>0</v>
      </c>
      <c r="I4699" t="s">
        <v>22</v>
      </c>
      <c r="J4699" t="s">
        <v>22</v>
      </c>
    </row>
    <row r="4700" spans="1:10" x14ac:dyDescent="0.25">
      <c r="A4700" t="s">
        <v>3089</v>
      </c>
      <c r="B4700" t="s">
        <v>3090</v>
      </c>
      <c r="C4700">
        <v>0</v>
      </c>
      <c r="D4700">
        <v>0</v>
      </c>
      <c r="E4700">
        <v>0</v>
      </c>
      <c r="F4700">
        <v>0</v>
      </c>
      <c r="G4700">
        <v>0</v>
      </c>
      <c r="H4700">
        <v>0</v>
      </c>
      <c r="I4700" t="s">
        <v>22</v>
      </c>
      <c r="J4700" t="s">
        <v>22</v>
      </c>
    </row>
    <row r="4701" spans="1:10" x14ac:dyDescent="0.25">
      <c r="A4701" t="s">
        <v>3091</v>
      </c>
      <c r="B4701" t="s">
        <v>3092</v>
      </c>
      <c r="C4701">
        <v>0</v>
      </c>
      <c r="D4701">
        <v>0</v>
      </c>
      <c r="E4701">
        <v>0</v>
      </c>
      <c r="F4701">
        <v>0</v>
      </c>
      <c r="G4701">
        <v>0</v>
      </c>
      <c r="H4701">
        <v>0</v>
      </c>
      <c r="I4701" t="s">
        <v>22</v>
      </c>
      <c r="J4701" t="s">
        <v>22</v>
      </c>
    </row>
    <row r="4702" spans="1:10" x14ac:dyDescent="0.25">
      <c r="A4702" t="s">
        <v>3093</v>
      </c>
      <c r="B4702" t="s">
        <v>3094</v>
      </c>
      <c r="C4702">
        <v>0</v>
      </c>
      <c r="D4702" s="2">
        <v>199424</v>
      </c>
      <c r="E4702">
        <v>0</v>
      </c>
      <c r="F4702">
        <v>0</v>
      </c>
      <c r="G4702">
        <v>0</v>
      </c>
      <c r="H4702">
        <v>0</v>
      </c>
      <c r="I4702" t="s">
        <v>22</v>
      </c>
      <c r="J4702" t="s">
        <v>22</v>
      </c>
    </row>
    <row r="4703" spans="1:10" x14ac:dyDescent="0.25">
      <c r="A4703" t="s">
        <v>3095</v>
      </c>
      <c r="B4703" t="s">
        <v>3096</v>
      </c>
      <c r="C4703">
        <v>0</v>
      </c>
      <c r="D4703">
        <v>0</v>
      </c>
      <c r="E4703">
        <v>0</v>
      </c>
      <c r="F4703">
        <v>0</v>
      </c>
      <c r="G4703">
        <v>0</v>
      </c>
      <c r="H4703">
        <v>0</v>
      </c>
      <c r="I4703" t="s">
        <v>22</v>
      </c>
      <c r="J4703" t="s">
        <v>22</v>
      </c>
    </row>
    <row r="4704" spans="1:10" x14ac:dyDescent="0.25">
      <c r="A4704" t="s">
        <v>3097</v>
      </c>
      <c r="B4704" t="s">
        <v>3098</v>
      </c>
      <c r="C4704">
        <v>0</v>
      </c>
      <c r="D4704">
        <v>0</v>
      </c>
      <c r="E4704">
        <v>0</v>
      </c>
      <c r="F4704">
        <v>0</v>
      </c>
      <c r="G4704">
        <v>0</v>
      </c>
      <c r="H4704">
        <v>0</v>
      </c>
      <c r="I4704" t="s">
        <v>22</v>
      </c>
      <c r="J4704" t="s">
        <v>22</v>
      </c>
    </row>
    <row r="4705" spans="1:10" x14ac:dyDescent="0.25">
      <c r="A4705" t="s">
        <v>3099</v>
      </c>
      <c r="B4705" t="s">
        <v>1275</v>
      </c>
      <c r="C4705">
        <v>0</v>
      </c>
      <c r="D4705">
        <v>0</v>
      </c>
      <c r="E4705">
        <v>0</v>
      </c>
      <c r="F4705">
        <v>0</v>
      </c>
      <c r="G4705">
        <v>0</v>
      </c>
      <c r="H4705">
        <v>0</v>
      </c>
      <c r="I4705" t="s">
        <v>22</v>
      </c>
      <c r="J4705" t="s">
        <v>22</v>
      </c>
    </row>
    <row r="4706" spans="1:10" x14ac:dyDescent="0.25">
      <c r="A4706" t="s">
        <v>3100</v>
      </c>
      <c r="B4706" t="s">
        <v>3101</v>
      </c>
      <c r="C4706">
        <v>0</v>
      </c>
      <c r="D4706">
        <v>0</v>
      </c>
      <c r="E4706">
        <v>0</v>
      </c>
      <c r="F4706">
        <v>0</v>
      </c>
      <c r="G4706">
        <v>0</v>
      </c>
      <c r="H4706">
        <v>0</v>
      </c>
      <c r="I4706" t="s">
        <v>22</v>
      </c>
      <c r="J4706" t="s">
        <v>22</v>
      </c>
    </row>
    <row r="4707" spans="1:10" x14ac:dyDescent="0.25">
      <c r="A4707" t="s">
        <v>3102</v>
      </c>
      <c r="B4707" t="s">
        <v>3103</v>
      </c>
      <c r="C4707" s="2">
        <v>35026</v>
      </c>
      <c r="D4707">
        <v>0</v>
      </c>
      <c r="E4707">
        <v>0</v>
      </c>
      <c r="F4707">
        <v>0</v>
      </c>
      <c r="G4707">
        <v>0</v>
      </c>
      <c r="H4707">
        <v>0</v>
      </c>
      <c r="I4707" t="s">
        <v>22</v>
      </c>
      <c r="J4707" t="s">
        <v>22</v>
      </c>
    </row>
    <row r="4708" spans="1:10" x14ac:dyDescent="0.25">
      <c r="A4708" t="s">
        <v>3104</v>
      </c>
      <c r="B4708" t="s">
        <v>3042</v>
      </c>
      <c r="C4708">
        <v>0</v>
      </c>
      <c r="D4708">
        <v>0</v>
      </c>
      <c r="E4708">
        <v>0</v>
      </c>
      <c r="F4708">
        <v>0</v>
      </c>
      <c r="G4708">
        <v>0</v>
      </c>
      <c r="H4708">
        <v>0</v>
      </c>
      <c r="I4708" t="s">
        <v>22</v>
      </c>
      <c r="J4708" t="s">
        <v>22</v>
      </c>
    </row>
    <row r="4709" spans="1:10" x14ac:dyDescent="0.25">
      <c r="A4709" t="s">
        <v>3105</v>
      </c>
      <c r="B4709" t="s">
        <v>3106</v>
      </c>
      <c r="C4709">
        <v>0</v>
      </c>
      <c r="D4709">
        <v>0</v>
      </c>
      <c r="E4709">
        <v>0</v>
      </c>
      <c r="F4709">
        <v>0</v>
      </c>
      <c r="G4709">
        <v>0</v>
      </c>
      <c r="H4709">
        <v>0</v>
      </c>
      <c r="I4709" t="s">
        <v>22</v>
      </c>
      <c r="J4709" t="s">
        <v>22</v>
      </c>
    </row>
    <row r="4710" spans="1:10" x14ac:dyDescent="0.25">
      <c r="A4710" t="s">
        <v>3107</v>
      </c>
      <c r="B4710" t="s">
        <v>3108</v>
      </c>
      <c r="C4710">
        <v>0</v>
      </c>
      <c r="D4710">
        <v>0</v>
      </c>
      <c r="E4710">
        <v>0</v>
      </c>
      <c r="F4710">
        <v>0</v>
      </c>
      <c r="G4710">
        <v>0</v>
      </c>
      <c r="H4710">
        <v>0</v>
      </c>
      <c r="I4710" t="s">
        <v>22</v>
      </c>
      <c r="J4710" t="s">
        <v>22</v>
      </c>
    </row>
    <row r="4711" spans="1:10" x14ac:dyDescent="0.25">
      <c r="A4711" t="s">
        <v>3109</v>
      </c>
      <c r="B4711" t="s">
        <v>3110</v>
      </c>
      <c r="C4711">
        <v>0</v>
      </c>
      <c r="D4711">
        <v>0</v>
      </c>
      <c r="E4711">
        <v>0</v>
      </c>
      <c r="F4711">
        <v>0</v>
      </c>
      <c r="G4711">
        <v>0</v>
      </c>
      <c r="H4711">
        <v>0</v>
      </c>
      <c r="I4711" t="s">
        <v>22</v>
      </c>
      <c r="J4711" t="s">
        <v>22</v>
      </c>
    </row>
    <row r="4712" spans="1:10" x14ac:dyDescent="0.25">
      <c r="A4712" t="s">
        <v>3111</v>
      </c>
      <c r="B4712" t="s">
        <v>3112</v>
      </c>
      <c r="C4712">
        <v>0</v>
      </c>
      <c r="D4712">
        <v>0</v>
      </c>
      <c r="E4712">
        <v>0</v>
      </c>
      <c r="F4712">
        <v>0</v>
      </c>
      <c r="G4712">
        <v>0</v>
      </c>
      <c r="H4712">
        <v>0</v>
      </c>
      <c r="I4712" t="s">
        <v>22</v>
      </c>
      <c r="J4712" t="s">
        <v>22</v>
      </c>
    </row>
    <row r="4713" spans="1:10" x14ac:dyDescent="0.25">
      <c r="A4713" t="s">
        <v>3113</v>
      </c>
      <c r="B4713" t="s">
        <v>3114</v>
      </c>
      <c r="C4713">
        <v>0</v>
      </c>
      <c r="D4713">
        <v>0</v>
      </c>
      <c r="E4713">
        <v>0</v>
      </c>
      <c r="F4713">
        <v>0</v>
      </c>
      <c r="G4713">
        <v>0</v>
      </c>
      <c r="H4713">
        <v>0</v>
      </c>
      <c r="I4713" t="s">
        <v>22</v>
      </c>
      <c r="J4713" t="s">
        <v>22</v>
      </c>
    </row>
    <row r="4714" spans="1:10" x14ac:dyDescent="0.25">
      <c r="A4714" t="s">
        <v>3115</v>
      </c>
      <c r="B4714" t="s">
        <v>3116</v>
      </c>
      <c r="C4714">
        <v>0</v>
      </c>
      <c r="D4714">
        <v>0</v>
      </c>
      <c r="E4714">
        <v>0</v>
      </c>
      <c r="F4714">
        <v>0</v>
      </c>
      <c r="G4714">
        <v>0</v>
      </c>
      <c r="H4714">
        <v>0</v>
      </c>
      <c r="I4714" t="s">
        <v>22</v>
      </c>
      <c r="J4714" t="s">
        <v>22</v>
      </c>
    </row>
    <row r="4715" spans="1:10" x14ac:dyDescent="0.25">
      <c r="A4715" t="s">
        <v>3117</v>
      </c>
      <c r="B4715" t="s">
        <v>3118</v>
      </c>
      <c r="C4715">
        <v>0</v>
      </c>
      <c r="D4715">
        <v>0</v>
      </c>
      <c r="E4715">
        <v>0</v>
      </c>
      <c r="F4715">
        <v>0</v>
      </c>
      <c r="G4715">
        <v>0</v>
      </c>
      <c r="H4715">
        <v>0</v>
      </c>
      <c r="I4715" t="s">
        <v>22</v>
      </c>
      <c r="J4715" t="s">
        <v>22</v>
      </c>
    </row>
    <row r="4716" spans="1:10" x14ac:dyDescent="0.25">
      <c r="A4716" t="s">
        <v>3119</v>
      </c>
      <c r="B4716" t="s">
        <v>3120</v>
      </c>
      <c r="C4716">
        <v>0</v>
      </c>
      <c r="D4716">
        <v>0</v>
      </c>
      <c r="E4716">
        <v>0</v>
      </c>
      <c r="F4716">
        <v>0</v>
      </c>
      <c r="G4716">
        <v>0</v>
      </c>
      <c r="H4716">
        <v>0</v>
      </c>
      <c r="I4716" t="s">
        <v>22</v>
      </c>
      <c r="J4716" t="s">
        <v>22</v>
      </c>
    </row>
    <row r="4717" spans="1:10" x14ac:dyDescent="0.25">
      <c r="A4717" t="s">
        <v>3121</v>
      </c>
      <c r="B4717" t="s">
        <v>3122</v>
      </c>
      <c r="C4717">
        <v>0</v>
      </c>
      <c r="D4717">
        <v>0</v>
      </c>
      <c r="E4717">
        <v>0</v>
      </c>
      <c r="F4717">
        <v>0</v>
      </c>
      <c r="G4717">
        <v>0</v>
      </c>
      <c r="H4717">
        <v>0</v>
      </c>
      <c r="I4717" t="s">
        <v>22</v>
      </c>
      <c r="J4717" t="s">
        <v>22</v>
      </c>
    </row>
    <row r="4718" spans="1:10" x14ac:dyDescent="0.25">
      <c r="A4718" t="s">
        <v>3123</v>
      </c>
      <c r="B4718" t="s">
        <v>3124</v>
      </c>
      <c r="C4718">
        <v>0</v>
      </c>
      <c r="D4718">
        <v>0</v>
      </c>
      <c r="E4718">
        <v>0</v>
      </c>
      <c r="F4718">
        <v>0</v>
      </c>
      <c r="G4718">
        <v>0</v>
      </c>
      <c r="H4718">
        <v>0</v>
      </c>
      <c r="I4718" t="s">
        <v>22</v>
      </c>
      <c r="J4718" t="s">
        <v>22</v>
      </c>
    </row>
    <row r="4719" spans="1:10" x14ac:dyDescent="0.25">
      <c r="A4719" t="s">
        <v>3125</v>
      </c>
      <c r="B4719" t="s">
        <v>3126</v>
      </c>
      <c r="C4719" s="2">
        <v>8500</v>
      </c>
      <c r="D4719">
        <v>0</v>
      </c>
      <c r="E4719">
        <v>0</v>
      </c>
      <c r="F4719">
        <v>0</v>
      </c>
      <c r="G4719">
        <v>0</v>
      </c>
      <c r="H4719">
        <v>0</v>
      </c>
      <c r="I4719" t="s">
        <v>22</v>
      </c>
      <c r="J4719" t="s">
        <v>22</v>
      </c>
    </row>
    <row r="4720" spans="1:10" x14ac:dyDescent="0.25">
      <c r="A4720" t="s">
        <v>3127</v>
      </c>
      <c r="B4720" t="s">
        <v>3128</v>
      </c>
      <c r="C4720">
        <v>0</v>
      </c>
      <c r="D4720">
        <v>0</v>
      </c>
      <c r="E4720">
        <v>0</v>
      </c>
      <c r="F4720">
        <v>0</v>
      </c>
      <c r="G4720">
        <v>0</v>
      </c>
      <c r="H4720">
        <v>0</v>
      </c>
      <c r="I4720" t="s">
        <v>22</v>
      </c>
      <c r="J4720" t="s">
        <v>22</v>
      </c>
    </row>
    <row r="4721" spans="1:10" x14ac:dyDescent="0.25">
      <c r="A4721" t="s">
        <v>110</v>
      </c>
    </row>
    <row r="4722" spans="1:10" x14ac:dyDescent="0.25">
      <c r="A4722" s="1">
        <v>43991</v>
      </c>
      <c r="B4722" t="s">
        <v>1615</v>
      </c>
      <c r="D4722" t="s">
        <v>112</v>
      </c>
      <c r="E4722" t="s">
        <v>113</v>
      </c>
      <c r="F4722" t="s">
        <v>114</v>
      </c>
      <c r="J4722" t="s">
        <v>544</v>
      </c>
    </row>
    <row r="4723" spans="1:10" x14ac:dyDescent="0.25">
      <c r="D4723" t="s">
        <v>116</v>
      </c>
      <c r="E4723" t="s">
        <v>117</v>
      </c>
      <c r="F4723" t="s">
        <v>118</v>
      </c>
    </row>
    <row r="4724" spans="1:10" x14ac:dyDescent="0.25">
      <c r="D4724" t="s">
        <v>119</v>
      </c>
      <c r="E4724" t="s">
        <v>120</v>
      </c>
      <c r="F4724" t="s">
        <v>121</v>
      </c>
    </row>
    <row r="4725" spans="1:10" x14ac:dyDescent="0.25">
      <c r="A4725" t="s">
        <v>2612</v>
      </c>
      <c r="B4725" t="s">
        <v>2613</v>
      </c>
    </row>
    <row r="4726" spans="1:10" x14ac:dyDescent="0.25">
      <c r="A4726" t="s">
        <v>386</v>
      </c>
    </row>
    <row r="4727" spans="1:10" x14ac:dyDescent="0.25">
      <c r="F4727" t="s">
        <v>2</v>
      </c>
      <c r="G4727" t="s">
        <v>3</v>
      </c>
      <c r="H4727" t="s">
        <v>4</v>
      </c>
      <c r="I4727" t="s">
        <v>5</v>
      </c>
      <c r="J4727" t="s">
        <v>6</v>
      </c>
    </row>
    <row r="4728" spans="1:10" x14ac:dyDescent="0.25">
      <c r="C4728" t="s">
        <v>7</v>
      </c>
      <c r="D4728" t="s">
        <v>8</v>
      </c>
      <c r="E4728" t="s">
        <v>9</v>
      </c>
      <c r="F4728" t="s">
        <v>10</v>
      </c>
      <c r="G4728" t="s">
        <v>124</v>
      </c>
      <c r="H4728" t="s">
        <v>12</v>
      </c>
      <c r="I4728" t="s">
        <v>13</v>
      </c>
      <c r="J4728" t="s">
        <v>14</v>
      </c>
    </row>
    <row r="4729" spans="1:10" x14ac:dyDescent="0.25">
      <c r="C4729" t="s">
        <v>15</v>
      </c>
      <c r="D4729" t="s">
        <v>15</v>
      </c>
      <c r="E4729" t="s">
        <v>15</v>
      </c>
      <c r="F4729" t="s">
        <v>16</v>
      </c>
      <c r="G4729" t="s">
        <v>15</v>
      </c>
      <c r="H4729" t="s">
        <v>17</v>
      </c>
      <c r="I4729" t="s">
        <v>16</v>
      </c>
      <c r="J4729" t="s">
        <v>16</v>
      </c>
    </row>
    <row r="4730" spans="1:10" x14ac:dyDescent="0.25">
      <c r="A4730" t="s">
        <v>18</v>
      </c>
      <c r="B4730" t="s">
        <v>19</v>
      </c>
      <c r="C4730" t="s">
        <v>20</v>
      </c>
      <c r="D4730" t="s">
        <v>21</v>
      </c>
      <c r="E4730" t="s">
        <v>22</v>
      </c>
      <c r="F4730" t="s">
        <v>23</v>
      </c>
      <c r="G4730" t="s">
        <v>24</v>
      </c>
      <c r="H4730" t="s">
        <v>20</v>
      </c>
      <c r="I4730" t="s">
        <v>24</v>
      </c>
      <c r="J4730" t="s">
        <v>20</v>
      </c>
    </row>
    <row r="4731" spans="1:10" x14ac:dyDescent="0.25">
      <c r="A4731" t="s">
        <v>3129</v>
      </c>
      <c r="B4731" t="s">
        <v>3130</v>
      </c>
      <c r="C4731">
        <v>0</v>
      </c>
      <c r="D4731">
        <v>0</v>
      </c>
      <c r="E4731">
        <v>0</v>
      </c>
      <c r="F4731">
        <v>0</v>
      </c>
      <c r="G4731">
        <v>0</v>
      </c>
      <c r="H4731">
        <v>0</v>
      </c>
      <c r="I4731" t="s">
        <v>22</v>
      </c>
      <c r="J4731" t="s">
        <v>22</v>
      </c>
    </row>
    <row r="4732" spans="1:10" x14ac:dyDescent="0.25">
      <c r="A4732" t="s">
        <v>3131</v>
      </c>
      <c r="B4732" t="s">
        <v>3132</v>
      </c>
      <c r="C4732">
        <v>0</v>
      </c>
      <c r="D4732">
        <v>0</v>
      </c>
      <c r="E4732">
        <v>0</v>
      </c>
      <c r="F4732">
        <v>0</v>
      </c>
      <c r="G4732">
        <v>0</v>
      </c>
      <c r="H4732">
        <v>0</v>
      </c>
      <c r="I4732" t="s">
        <v>22</v>
      </c>
      <c r="J4732" t="s">
        <v>22</v>
      </c>
    </row>
    <row r="4733" spans="1:10" x14ac:dyDescent="0.25">
      <c r="A4733" t="s">
        <v>3133</v>
      </c>
      <c r="B4733" t="s">
        <v>3134</v>
      </c>
      <c r="C4733">
        <v>0</v>
      </c>
      <c r="D4733">
        <v>0</v>
      </c>
      <c r="E4733">
        <v>0</v>
      </c>
      <c r="F4733">
        <v>0</v>
      </c>
      <c r="G4733">
        <v>0</v>
      </c>
      <c r="H4733">
        <v>0</v>
      </c>
      <c r="I4733" t="s">
        <v>22</v>
      </c>
      <c r="J4733" t="s">
        <v>22</v>
      </c>
    </row>
    <row r="4734" spans="1:10" x14ac:dyDescent="0.25">
      <c r="A4734" t="s">
        <v>3135</v>
      </c>
      <c r="B4734" t="s">
        <v>3136</v>
      </c>
      <c r="C4734">
        <v>0</v>
      </c>
      <c r="D4734">
        <v>0</v>
      </c>
      <c r="E4734">
        <v>0</v>
      </c>
      <c r="F4734">
        <v>0</v>
      </c>
      <c r="G4734">
        <v>0</v>
      </c>
      <c r="H4734">
        <v>0</v>
      </c>
      <c r="I4734" t="s">
        <v>22</v>
      </c>
      <c r="J4734" t="s">
        <v>22</v>
      </c>
    </row>
    <row r="4735" spans="1:10" x14ac:dyDescent="0.25">
      <c r="A4735" t="s">
        <v>3137</v>
      </c>
      <c r="B4735" t="s">
        <v>2706</v>
      </c>
      <c r="C4735">
        <v>0</v>
      </c>
      <c r="D4735">
        <v>0</v>
      </c>
      <c r="E4735">
        <v>0</v>
      </c>
      <c r="F4735">
        <v>0</v>
      </c>
      <c r="G4735">
        <v>0</v>
      </c>
      <c r="H4735">
        <v>0</v>
      </c>
      <c r="I4735" t="s">
        <v>22</v>
      </c>
      <c r="J4735" t="s">
        <v>22</v>
      </c>
    </row>
    <row r="4736" spans="1:10" x14ac:dyDescent="0.25">
      <c r="A4736" t="s">
        <v>3138</v>
      </c>
      <c r="B4736" t="s">
        <v>3139</v>
      </c>
      <c r="C4736">
        <v>0</v>
      </c>
      <c r="D4736">
        <v>0</v>
      </c>
      <c r="E4736">
        <v>0</v>
      </c>
      <c r="F4736">
        <v>0</v>
      </c>
      <c r="G4736">
        <v>0</v>
      </c>
      <c r="H4736">
        <v>0</v>
      </c>
      <c r="I4736" t="s">
        <v>22</v>
      </c>
      <c r="J4736" t="s">
        <v>22</v>
      </c>
    </row>
    <row r="4737" spans="1:10" x14ac:dyDescent="0.25">
      <c r="A4737" t="s">
        <v>3140</v>
      </c>
      <c r="B4737" t="s">
        <v>3141</v>
      </c>
      <c r="C4737">
        <v>0</v>
      </c>
      <c r="D4737">
        <v>0</v>
      </c>
      <c r="E4737">
        <v>0</v>
      </c>
      <c r="F4737">
        <v>0</v>
      </c>
      <c r="G4737">
        <v>0</v>
      </c>
      <c r="H4737">
        <v>0</v>
      </c>
      <c r="I4737" t="s">
        <v>22</v>
      </c>
      <c r="J4737" t="s">
        <v>22</v>
      </c>
    </row>
    <row r="4738" spans="1:10" x14ac:dyDescent="0.25">
      <c r="A4738" t="s">
        <v>3142</v>
      </c>
      <c r="B4738" t="s">
        <v>3143</v>
      </c>
      <c r="C4738">
        <v>0</v>
      </c>
      <c r="D4738">
        <v>0</v>
      </c>
      <c r="E4738">
        <v>0</v>
      </c>
      <c r="F4738">
        <v>0</v>
      </c>
      <c r="G4738">
        <v>0</v>
      </c>
      <c r="H4738">
        <v>0</v>
      </c>
      <c r="I4738" t="s">
        <v>22</v>
      </c>
      <c r="J4738" t="s">
        <v>22</v>
      </c>
    </row>
    <row r="4739" spans="1:10" x14ac:dyDescent="0.25">
      <c r="A4739" t="s">
        <v>3144</v>
      </c>
      <c r="B4739" t="s">
        <v>3145</v>
      </c>
      <c r="C4739" s="2">
        <v>11111</v>
      </c>
      <c r="D4739">
        <v>0</v>
      </c>
      <c r="E4739">
        <v>0</v>
      </c>
      <c r="F4739">
        <v>0</v>
      </c>
      <c r="G4739">
        <v>0</v>
      </c>
      <c r="H4739">
        <v>0</v>
      </c>
      <c r="I4739" t="s">
        <v>22</v>
      </c>
      <c r="J4739" t="s">
        <v>22</v>
      </c>
    </row>
    <row r="4740" spans="1:10" x14ac:dyDescent="0.25">
      <c r="A4740" t="s">
        <v>3146</v>
      </c>
      <c r="B4740" t="s">
        <v>3147</v>
      </c>
      <c r="C4740">
        <v>0</v>
      </c>
      <c r="D4740">
        <v>0</v>
      </c>
      <c r="E4740">
        <v>0</v>
      </c>
      <c r="F4740">
        <v>0</v>
      </c>
      <c r="G4740">
        <v>0</v>
      </c>
      <c r="H4740">
        <v>0</v>
      </c>
      <c r="I4740" t="s">
        <v>22</v>
      </c>
      <c r="J4740" t="s">
        <v>22</v>
      </c>
    </row>
    <row r="4741" spans="1:10" x14ac:dyDescent="0.25">
      <c r="A4741" t="s">
        <v>3148</v>
      </c>
      <c r="B4741" t="s">
        <v>3149</v>
      </c>
      <c r="C4741">
        <v>0</v>
      </c>
      <c r="D4741">
        <v>0</v>
      </c>
      <c r="E4741">
        <v>0</v>
      </c>
      <c r="F4741">
        <v>0</v>
      </c>
      <c r="G4741">
        <v>0</v>
      </c>
      <c r="H4741">
        <v>0</v>
      </c>
      <c r="I4741" t="s">
        <v>22</v>
      </c>
      <c r="J4741" t="s">
        <v>22</v>
      </c>
    </row>
    <row r="4742" spans="1:10" x14ac:dyDescent="0.25">
      <c r="A4742" t="s">
        <v>3150</v>
      </c>
      <c r="B4742" t="s">
        <v>3151</v>
      </c>
      <c r="C4742">
        <v>0</v>
      </c>
      <c r="D4742">
        <v>0</v>
      </c>
      <c r="E4742">
        <v>0</v>
      </c>
      <c r="F4742">
        <v>0</v>
      </c>
      <c r="G4742">
        <v>0</v>
      </c>
      <c r="H4742">
        <v>0</v>
      </c>
      <c r="I4742" t="s">
        <v>22</v>
      </c>
      <c r="J4742" t="s">
        <v>22</v>
      </c>
    </row>
    <row r="4743" spans="1:10" x14ac:dyDescent="0.25">
      <c r="A4743" t="s">
        <v>3152</v>
      </c>
      <c r="B4743" t="s">
        <v>3153</v>
      </c>
      <c r="C4743">
        <v>0</v>
      </c>
      <c r="D4743">
        <v>0</v>
      </c>
      <c r="E4743">
        <v>0</v>
      </c>
      <c r="F4743">
        <v>0</v>
      </c>
      <c r="G4743">
        <v>0</v>
      </c>
      <c r="H4743">
        <v>0</v>
      </c>
      <c r="I4743" t="s">
        <v>22</v>
      </c>
      <c r="J4743" t="s">
        <v>22</v>
      </c>
    </row>
    <row r="4744" spans="1:10" x14ac:dyDescent="0.25">
      <c r="A4744" t="s">
        <v>3154</v>
      </c>
      <c r="B4744" t="s">
        <v>3155</v>
      </c>
      <c r="C4744" s="2">
        <v>282416</v>
      </c>
      <c r="D4744">
        <v>0</v>
      </c>
      <c r="E4744">
        <v>0</v>
      </c>
      <c r="F4744">
        <v>0</v>
      </c>
      <c r="G4744">
        <v>0</v>
      </c>
      <c r="H4744">
        <v>0</v>
      </c>
      <c r="I4744" t="s">
        <v>22</v>
      </c>
      <c r="J4744" t="s">
        <v>22</v>
      </c>
    </row>
    <row r="4745" spans="1:10" x14ac:dyDescent="0.25">
      <c r="A4745" t="s">
        <v>3156</v>
      </c>
      <c r="B4745" t="s">
        <v>3157</v>
      </c>
      <c r="C4745">
        <v>0</v>
      </c>
      <c r="D4745">
        <v>0</v>
      </c>
      <c r="E4745">
        <v>0</v>
      </c>
      <c r="F4745">
        <v>0</v>
      </c>
      <c r="G4745">
        <v>0</v>
      </c>
      <c r="H4745">
        <v>0</v>
      </c>
      <c r="I4745" t="s">
        <v>22</v>
      </c>
      <c r="J4745" t="s">
        <v>22</v>
      </c>
    </row>
    <row r="4746" spans="1:10" x14ac:dyDescent="0.25">
      <c r="A4746" t="s">
        <v>3158</v>
      </c>
      <c r="B4746" t="s">
        <v>3159</v>
      </c>
      <c r="C4746">
        <v>0</v>
      </c>
      <c r="D4746">
        <v>0</v>
      </c>
      <c r="E4746">
        <v>0</v>
      </c>
      <c r="F4746">
        <v>0</v>
      </c>
      <c r="G4746">
        <v>0</v>
      </c>
      <c r="H4746">
        <v>0</v>
      </c>
      <c r="I4746" t="s">
        <v>22</v>
      </c>
      <c r="J4746" t="s">
        <v>22</v>
      </c>
    </row>
    <row r="4747" spans="1:10" x14ac:dyDescent="0.25">
      <c r="A4747" t="s">
        <v>3160</v>
      </c>
      <c r="B4747" t="s">
        <v>3161</v>
      </c>
      <c r="C4747">
        <v>0</v>
      </c>
      <c r="D4747">
        <v>0</v>
      </c>
      <c r="E4747">
        <v>0</v>
      </c>
      <c r="F4747">
        <v>0</v>
      </c>
      <c r="G4747">
        <v>0</v>
      </c>
      <c r="H4747">
        <v>0</v>
      </c>
      <c r="I4747" t="s">
        <v>22</v>
      </c>
      <c r="J4747" t="s">
        <v>22</v>
      </c>
    </row>
    <row r="4748" spans="1:10" x14ac:dyDescent="0.25">
      <c r="A4748" t="s">
        <v>3162</v>
      </c>
      <c r="B4748" t="s">
        <v>34</v>
      </c>
      <c r="C4748">
        <v>0</v>
      </c>
      <c r="D4748">
        <v>0</v>
      </c>
      <c r="E4748">
        <v>0</v>
      </c>
      <c r="F4748">
        <v>0</v>
      </c>
      <c r="G4748">
        <v>0</v>
      </c>
      <c r="H4748">
        <v>0</v>
      </c>
      <c r="I4748" t="s">
        <v>22</v>
      </c>
      <c r="J4748" t="s">
        <v>22</v>
      </c>
    </row>
    <row r="4749" spans="1:10" x14ac:dyDescent="0.25">
      <c r="A4749" t="s">
        <v>3163</v>
      </c>
      <c r="B4749" t="s">
        <v>3164</v>
      </c>
      <c r="C4749">
        <v>0</v>
      </c>
      <c r="D4749">
        <v>0</v>
      </c>
      <c r="E4749">
        <v>0</v>
      </c>
      <c r="F4749">
        <v>0</v>
      </c>
      <c r="G4749">
        <v>0</v>
      </c>
      <c r="H4749">
        <v>0</v>
      </c>
      <c r="I4749" t="s">
        <v>22</v>
      </c>
      <c r="J4749" t="s">
        <v>22</v>
      </c>
    </row>
    <row r="4750" spans="1:10" x14ac:dyDescent="0.25">
      <c r="A4750" t="s">
        <v>3165</v>
      </c>
      <c r="B4750" t="s">
        <v>3166</v>
      </c>
      <c r="C4750">
        <v>0</v>
      </c>
      <c r="D4750">
        <v>0</v>
      </c>
      <c r="E4750">
        <v>0</v>
      </c>
      <c r="F4750">
        <v>0</v>
      </c>
      <c r="G4750">
        <v>0</v>
      </c>
      <c r="H4750">
        <v>0</v>
      </c>
      <c r="I4750" t="s">
        <v>22</v>
      </c>
      <c r="J4750" t="s">
        <v>22</v>
      </c>
    </row>
    <row r="4751" spans="1:10" x14ac:dyDescent="0.25">
      <c r="A4751" t="s">
        <v>3167</v>
      </c>
      <c r="B4751" t="s">
        <v>3168</v>
      </c>
      <c r="C4751">
        <v>0</v>
      </c>
      <c r="D4751">
        <v>0</v>
      </c>
      <c r="E4751">
        <v>0</v>
      </c>
      <c r="F4751">
        <v>0</v>
      </c>
      <c r="G4751">
        <v>0</v>
      </c>
      <c r="H4751">
        <v>0</v>
      </c>
      <c r="I4751" t="s">
        <v>22</v>
      </c>
      <c r="J4751" t="s">
        <v>22</v>
      </c>
    </row>
    <row r="4752" spans="1:10" x14ac:dyDescent="0.25">
      <c r="A4752" t="s">
        <v>3169</v>
      </c>
      <c r="B4752" t="s">
        <v>3170</v>
      </c>
      <c r="C4752">
        <v>0</v>
      </c>
      <c r="D4752">
        <v>0</v>
      </c>
      <c r="E4752">
        <v>0</v>
      </c>
      <c r="F4752">
        <v>0</v>
      </c>
      <c r="G4752">
        <v>0</v>
      </c>
      <c r="H4752">
        <v>0</v>
      </c>
      <c r="I4752" t="s">
        <v>22</v>
      </c>
      <c r="J4752" t="s">
        <v>22</v>
      </c>
    </row>
    <row r="4753" spans="1:10" x14ac:dyDescent="0.25">
      <c r="A4753" t="s">
        <v>3171</v>
      </c>
      <c r="B4753" t="s">
        <v>3172</v>
      </c>
      <c r="C4753">
        <v>0</v>
      </c>
      <c r="D4753">
        <v>0</v>
      </c>
      <c r="E4753">
        <v>0</v>
      </c>
      <c r="F4753">
        <v>0</v>
      </c>
      <c r="G4753">
        <v>0</v>
      </c>
      <c r="H4753">
        <v>0</v>
      </c>
      <c r="I4753" t="s">
        <v>22</v>
      </c>
      <c r="J4753" t="s">
        <v>22</v>
      </c>
    </row>
    <row r="4754" spans="1:10" x14ac:dyDescent="0.25">
      <c r="A4754" t="s">
        <v>3173</v>
      </c>
      <c r="B4754" t="s">
        <v>3174</v>
      </c>
      <c r="C4754">
        <v>0</v>
      </c>
      <c r="D4754">
        <v>0</v>
      </c>
      <c r="E4754">
        <v>0</v>
      </c>
      <c r="F4754">
        <v>0</v>
      </c>
      <c r="G4754">
        <v>0</v>
      </c>
      <c r="H4754">
        <v>0</v>
      </c>
      <c r="I4754" t="s">
        <v>22</v>
      </c>
      <c r="J4754" t="s">
        <v>22</v>
      </c>
    </row>
    <row r="4755" spans="1:10" x14ac:dyDescent="0.25">
      <c r="A4755" t="s">
        <v>3175</v>
      </c>
      <c r="B4755" t="s">
        <v>3176</v>
      </c>
      <c r="C4755">
        <v>0</v>
      </c>
      <c r="D4755">
        <v>0</v>
      </c>
      <c r="E4755">
        <v>0</v>
      </c>
      <c r="F4755">
        <v>0</v>
      </c>
      <c r="G4755">
        <v>0</v>
      </c>
      <c r="H4755">
        <v>0</v>
      </c>
      <c r="I4755" t="s">
        <v>22</v>
      </c>
      <c r="J4755" t="s">
        <v>22</v>
      </c>
    </row>
    <row r="4756" spans="1:10" x14ac:dyDescent="0.25">
      <c r="A4756" t="s">
        <v>3177</v>
      </c>
      <c r="B4756" t="s">
        <v>3178</v>
      </c>
      <c r="C4756">
        <v>0</v>
      </c>
      <c r="D4756">
        <v>0</v>
      </c>
      <c r="E4756">
        <v>0</v>
      </c>
      <c r="F4756">
        <v>0</v>
      </c>
      <c r="G4756">
        <v>0</v>
      </c>
      <c r="H4756">
        <v>0</v>
      </c>
      <c r="I4756" t="s">
        <v>22</v>
      </c>
      <c r="J4756" t="s">
        <v>22</v>
      </c>
    </row>
    <row r="4757" spans="1:10" x14ac:dyDescent="0.25">
      <c r="A4757" t="s">
        <v>3179</v>
      </c>
      <c r="B4757" t="s">
        <v>3180</v>
      </c>
      <c r="C4757">
        <v>0</v>
      </c>
      <c r="D4757">
        <v>0</v>
      </c>
      <c r="E4757">
        <v>0</v>
      </c>
      <c r="F4757">
        <v>0</v>
      </c>
      <c r="G4757">
        <v>0</v>
      </c>
      <c r="H4757">
        <v>0</v>
      </c>
      <c r="I4757" t="s">
        <v>22</v>
      </c>
      <c r="J4757" t="s">
        <v>22</v>
      </c>
    </row>
    <row r="4758" spans="1:10" x14ac:dyDescent="0.25">
      <c r="A4758" t="s">
        <v>3181</v>
      </c>
      <c r="B4758" t="s">
        <v>3182</v>
      </c>
      <c r="C4758">
        <v>0</v>
      </c>
      <c r="D4758">
        <v>0</v>
      </c>
      <c r="E4758">
        <v>0</v>
      </c>
      <c r="F4758">
        <v>0</v>
      </c>
      <c r="G4758">
        <v>0</v>
      </c>
      <c r="H4758">
        <v>0</v>
      </c>
      <c r="I4758" t="s">
        <v>22</v>
      </c>
      <c r="J4758" t="s">
        <v>22</v>
      </c>
    </row>
    <row r="4759" spans="1:10" x14ac:dyDescent="0.25">
      <c r="A4759" t="s">
        <v>3183</v>
      </c>
      <c r="B4759" t="s">
        <v>3184</v>
      </c>
      <c r="C4759">
        <v>0</v>
      </c>
      <c r="D4759">
        <v>0</v>
      </c>
      <c r="E4759">
        <v>0</v>
      </c>
      <c r="F4759">
        <v>0</v>
      </c>
      <c r="G4759">
        <v>0</v>
      </c>
      <c r="H4759">
        <v>0</v>
      </c>
      <c r="I4759" t="s">
        <v>22</v>
      </c>
      <c r="J4759" t="s">
        <v>22</v>
      </c>
    </row>
    <row r="4760" spans="1:10" x14ac:dyDescent="0.25">
      <c r="A4760" t="s">
        <v>3185</v>
      </c>
      <c r="B4760" t="s">
        <v>3186</v>
      </c>
      <c r="C4760">
        <v>0</v>
      </c>
      <c r="D4760">
        <v>0</v>
      </c>
      <c r="E4760">
        <v>0</v>
      </c>
      <c r="F4760">
        <v>0</v>
      </c>
      <c r="G4760">
        <v>0</v>
      </c>
      <c r="H4760">
        <v>0</v>
      </c>
      <c r="I4760" t="s">
        <v>22</v>
      </c>
      <c r="J4760" t="s">
        <v>22</v>
      </c>
    </row>
    <row r="4761" spans="1:10" x14ac:dyDescent="0.25">
      <c r="A4761" t="s">
        <v>3187</v>
      </c>
      <c r="B4761" t="s">
        <v>3188</v>
      </c>
      <c r="C4761">
        <v>0</v>
      </c>
      <c r="D4761">
        <v>0</v>
      </c>
      <c r="E4761">
        <v>0</v>
      </c>
      <c r="F4761">
        <v>0</v>
      </c>
      <c r="G4761">
        <v>0</v>
      </c>
      <c r="H4761">
        <v>0</v>
      </c>
      <c r="I4761" t="s">
        <v>22</v>
      </c>
      <c r="J4761" t="s">
        <v>22</v>
      </c>
    </row>
    <row r="4762" spans="1:10" x14ac:dyDescent="0.25">
      <c r="A4762" t="s">
        <v>3189</v>
      </c>
      <c r="B4762" t="s">
        <v>3190</v>
      </c>
      <c r="C4762">
        <v>0</v>
      </c>
      <c r="D4762">
        <v>0</v>
      </c>
      <c r="E4762">
        <v>0</v>
      </c>
      <c r="F4762">
        <v>0</v>
      </c>
      <c r="G4762">
        <v>0</v>
      </c>
      <c r="H4762">
        <v>0</v>
      </c>
      <c r="I4762" t="s">
        <v>22</v>
      </c>
      <c r="J4762" t="s">
        <v>22</v>
      </c>
    </row>
    <row r="4763" spans="1:10" x14ac:dyDescent="0.25">
      <c r="A4763" t="s">
        <v>3191</v>
      </c>
      <c r="B4763" t="s">
        <v>3192</v>
      </c>
      <c r="C4763">
        <v>0</v>
      </c>
      <c r="D4763">
        <v>0</v>
      </c>
      <c r="E4763">
        <v>0</v>
      </c>
      <c r="F4763">
        <v>0</v>
      </c>
      <c r="G4763">
        <v>0</v>
      </c>
      <c r="H4763">
        <v>0</v>
      </c>
      <c r="I4763" t="s">
        <v>22</v>
      </c>
      <c r="J4763" t="s">
        <v>22</v>
      </c>
    </row>
    <row r="4764" spans="1:10" x14ac:dyDescent="0.25">
      <c r="A4764" t="s">
        <v>3193</v>
      </c>
      <c r="B4764" t="s">
        <v>3194</v>
      </c>
      <c r="C4764" s="2">
        <v>3250</v>
      </c>
      <c r="D4764">
        <v>0</v>
      </c>
      <c r="E4764">
        <v>0</v>
      </c>
      <c r="F4764">
        <v>0</v>
      </c>
      <c r="G4764">
        <v>0</v>
      </c>
      <c r="H4764">
        <v>0</v>
      </c>
      <c r="I4764" t="s">
        <v>22</v>
      </c>
      <c r="J4764" t="s">
        <v>22</v>
      </c>
    </row>
    <row r="4765" spans="1:10" x14ac:dyDescent="0.25">
      <c r="A4765" t="s">
        <v>3195</v>
      </c>
      <c r="B4765" t="s">
        <v>3196</v>
      </c>
      <c r="C4765" s="2">
        <v>272894</v>
      </c>
      <c r="D4765" s="2">
        <v>90018</v>
      </c>
      <c r="E4765">
        <v>0</v>
      </c>
      <c r="F4765">
        <v>0</v>
      </c>
      <c r="G4765">
        <v>0</v>
      </c>
      <c r="H4765">
        <v>0</v>
      </c>
      <c r="I4765" t="s">
        <v>22</v>
      </c>
      <c r="J4765" t="s">
        <v>22</v>
      </c>
    </row>
    <row r="4766" spans="1:10" x14ac:dyDescent="0.25">
      <c r="A4766" t="s">
        <v>3197</v>
      </c>
      <c r="B4766" t="s">
        <v>2706</v>
      </c>
      <c r="C4766" s="2">
        <v>68572</v>
      </c>
      <c r="D4766" s="2">
        <v>107036</v>
      </c>
      <c r="E4766">
        <v>0</v>
      </c>
      <c r="F4766">
        <v>0</v>
      </c>
      <c r="G4766">
        <v>0</v>
      </c>
      <c r="H4766">
        <v>0</v>
      </c>
      <c r="I4766" t="s">
        <v>22</v>
      </c>
      <c r="J4766" t="s">
        <v>22</v>
      </c>
    </row>
    <row r="4767" spans="1:10" x14ac:dyDescent="0.25">
      <c r="A4767" t="s">
        <v>3198</v>
      </c>
      <c r="B4767" t="s">
        <v>3199</v>
      </c>
      <c r="C4767" s="2">
        <v>894638</v>
      </c>
      <c r="D4767">
        <v>0</v>
      </c>
      <c r="E4767">
        <v>0</v>
      </c>
      <c r="F4767">
        <v>0</v>
      </c>
      <c r="G4767">
        <v>0</v>
      </c>
      <c r="H4767">
        <v>0</v>
      </c>
      <c r="I4767" t="s">
        <v>22</v>
      </c>
      <c r="J4767" t="s">
        <v>22</v>
      </c>
    </row>
    <row r="4768" spans="1:10" x14ac:dyDescent="0.25">
      <c r="A4768" t="s">
        <v>3200</v>
      </c>
      <c r="B4768" t="s">
        <v>3201</v>
      </c>
      <c r="C4768">
        <v>0</v>
      </c>
      <c r="D4768">
        <v>0</v>
      </c>
      <c r="E4768">
        <v>0</v>
      </c>
      <c r="F4768">
        <v>0</v>
      </c>
      <c r="G4768">
        <v>0</v>
      </c>
      <c r="H4768">
        <v>0</v>
      </c>
      <c r="I4768" t="s">
        <v>22</v>
      </c>
      <c r="J4768" t="s">
        <v>22</v>
      </c>
    </row>
    <row r="4769" spans="1:10" x14ac:dyDescent="0.25">
      <c r="A4769" t="s">
        <v>3202</v>
      </c>
      <c r="B4769" t="s">
        <v>3203</v>
      </c>
      <c r="C4769">
        <v>0</v>
      </c>
      <c r="D4769">
        <v>0</v>
      </c>
      <c r="E4769">
        <v>0</v>
      </c>
      <c r="F4769">
        <v>0</v>
      </c>
      <c r="G4769">
        <v>0</v>
      </c>
      <c r="H4769">
        <v>0</v>
      </c>
      <c r="I4769" t="s">
        <v>22</v>
      </c>
      <c r="J4769" t="s">
        <v>22</v>
      </c>
    </row>
    <row r="4770" spans="1:10" x14ac:dyDescent="0.25">
      <c r="A4770" t="s">
        <v>3204</v>
      </c>
      <c r="B4770" t="s">
        <v>3205</v>
      </c>
      <c r="C4770">
        <v>0</v>
      </c>
      <c r="D4770">
        <v>0</v>
      </c>
      <c r="E4770">
        <v>0</v>
      </c>
      <c r="F4770">
        <v>0</v>
      </c>
      <c r="G4770">
        <v>0</v>
      </c>
      <c r="H4770">
        <v>0</v>
      </c>
      <c r="I4770" t="s">
        <v>22</v>
      </c>
      <c r="J4770" t="s">
        <v>22</v>
      </c>
    </row>
    <row r="4771" spans="1:10" x14ac:dyDescent="0.25">
      <c r="A4771" t="s">
        <v>3206</v>
      </c>
      <c r="B4771" t="s">
        <v>3207</v>
      </c>
      <c r="C4771">
        <v>0</v>
      </c>
      <c r="D4771">
        <v>0</v>
      </c>
      <c r="E4771">
        <v>0</v>
      </c>
      <c r="F4771">
        <v>0</v>
      </c>
      <c r="G4771" s="2">
        <v>3613430</v>
      </c>
      <c r="H4771">
        <v>0</v>
      </c>
      <c r="I4771" t="s">
        <v>22</v>
      </c>
      <c r="J4771" t="s">
        <v>22</v>
      </c>
    </row>
    <row r="4772" spans="1:10" x14ac:dyDescent="0.25">
      <c r="A4772" t="s">
        <v>3208</v>
      </c>
      <c r="B4772" t="s">
        <v>3209</v>
      </c>
      <c r="C4772">
        <v>0</v>
      </c>
      <c r="D4772">
        <v>0</v>
      </c>
      <c r="E4772">
        <v>0</v>
      </c>
      <c r="F4772">
        <v>0</v>
      </c>
      <c r="G4772">
        <v>0</v>
      </c>
      <c r="H4772">
        <v>0</v>
      </c>
      <c r="I4772" t="s">
        <v>22</v>
      </c>
      <c r="J4772" t="s">
        <v>22</v>
      </c>
    </row>
    <row r="4773" spans="1:10" x14ac:dyDescent="0.25">
      <c r="C4773" t="s">
        <v>108</v>
      </c>
      <c r="D4773" t="s">
        <v>108</v>
      </c>
      <c r="E4773" t="s">
        <v>108</v>
      </c>
      <c r="F4773" t="s">
        <v>108</v>
      </c>
      <c r="G4773" t="s">
        <v>108</v>
      </c>
    </row>
    <row r="4774" spans="1:10" x14ac:dyDescent="0.25">
      <c r="H4774" t="s">
        <v>22</v>
      </c>
      <c r="I4774" t="s">
        <v>22</v>
      </c>
      <c r="J4774" t="s">
        <v>22</v>
      </c>
    </row>
    <row r="4775" spans="1:10" x14ac:dyDescent="0.25">
      <c r="A4775" t="s">
        <v>109</v>
      </c>
    </row>
    <row r="4776" spans="1:10" x14ac:dyDescent="0.25">
      <c r="B4776" t="s">
        <v>2870</v>
      </c>
      <c r="C4776" s="2">
        <v>1576407</v>
      </c>
      <c r="D4776" s="2">
        <v>396478</v>
      </c>
      <c r="E4776">
        <v>0</v>
      </c>
      <c r="F4776">
        <v>0</v>
      </c>
      <c r="G4776" s="2">
        <v>3613430</v>
      </c>
      <c r="H4776">
        <v>0</v>
      </c>
    </row>
    <row r="4778" spans="1:10" x14ac:dyDescent="0.25">
      <c r="A4778" t="s">
        <v>2788</v>
      </c>
      <c r="B4778" t="s">
        <v>2789</v>
      </c>
    </row>
    <row r="4779" spans="1:10" x14ac:dyDescent="0.25">
      <c r="A4779" t="s">
        <v>18</v>
      </c>
      <c r="B4779" t="s">
        <v>526</v>
      </c>
    </row>
    <row r="4780" spans="1:10" x14ac:dyDescent="0.25">
      <c r="A4780" t="s">
        <v>3210</v>
      </c>
      <c r="B4780" t="s">
        <v>3211</v>
      </c>
      <c r="C4780">
        <v>0</v>
      </c>
      <c r="D4780">
        <v>0</v>
      </c>
      <c r="E4780">
        <v>0</v>
      </c>
      <c r="F4780">
        <v>0</v>
      </c>
      <c r="G4780">
        <v>0</v>
      </c>
      <c r="H4780">
        <v>0</v>
      </c>
      <c r="I4780" t="s">
        <v>22</v>
      </c>
      <c r="J4780" t="s">
        <v>22</v>
      </c>
    </row>
    <row r="4781" spans="1:10" x14ac:dyDescent="0.25">
      <c r="A4781" t="s">
        <v>3212</v>
      </c>
      <c r="B4781" t="s">
        <v>3213</v>
      </c>
      <c r="C4781">
        <v>0</v>
      </c>
      <c r="D4781">
        <v>0</v>
      </c>
      <c r="E4781">
        <v>0</v>
      </c>
      <c r="F4781">
        <v>0</v>
      </c>
      <c r="G4781">
        <v>0</v>
      </c>
      <c r="H4781">
        <v>0</v>
      </c>
      <c r="I4781" t="s">
        <v>22</v>
      </c>
      <c r="J4781" t="s">
        <v>22</v>
      </c>
    </row>
    <row r="4782" spans="1:10" x14ac:dyDescent="0.25">
      <c r="C4782" t="s">
        <v>108</v>
      </c>
      <c r="D4782" t="s">
        <v>108</v>
      </c>
      <c r="E4782" t="s">
        <v>108</v>
      </c>
      <c r="F4782" t="s">
        <v>108</v>
      </c>
      <c r="G4782" t="s">
        <v>108</v>
      </c>
    </row>
    <row r="4783" spans="1:10" x14ac:dyDescent="0.25">
      <c r="H4783" t="s">
        <v>22</v>
      </c>
      <c r="I4783" t="s">
        <v>22</v>
      </c>
      <c r="J4783" t="s">
        <v>22</v>
      </c>
    </row>
    <row r="4784" spans="1:10" x14ac:dyDescent="0.25">
      <c r="A4784" t="s">
        <v>109</v>
      </c>
    </row>
    <row r="4785" spans="1:10" x14ac:dyDescent="0.25">
      <c r="B4785" t="s">
        <v>2870</v>
      </c>
      <c r="C4785">
        <v>0</v>
      </c>
      <c r="D4785">
        <v>0</v>
      </c>
      <c r="E4785">
        <v>0</v>
      </c>
      <c r="F4785">
        <v>0</v>
      </c>
      <c r="G4785">
        <v>0</v>
      </c>
      <c r="H4785">
        <v>0</v>
      </c>
    </row>
    <row r="4786" spans="1:10" x14ac:dyDescent="0.25">
      <c r="A4786" t="s">
        <v>18</v>
      </c>
      <c r="B4786" t="s">
        <v>19</v>
      </c>
      <c r="C4786" t="s">
        <v>20</v>
      </c>
      <c r="D4786" t="s">
        <v>21</v>
      </c>
      <c r="E4786" t="s">
        <v>26</v>
      </c>
    </row>
    <row r="4787" spans="1:10" x14ac:dyDescent="0.25">
      <c r="E4787" t="s">
        <v>339</v>
      </c>
      <c r="F4787" t="s">
        <v>23</v>
      </c>
      <c r="G4787" t="s">
        <v>24</v>
      </c>
      <c r="H4787" t="s">
        <v>20</v>
      </c>
      <c r="I4787" t="s">
        <v>24</v>
      </c>
      <c r="J4787" t="s">
        <v>20</v>
      </c>
    </row>
    <row r="4788" spans="1:10" x14ac:dyDescent="0.25">
      <c r="A4788" t="s">
        <v>109</v>
      </c>
    </row>
    <row r="4789" spans="1:10" x14ac:dyDescent="0.25">
      <c r="A4789">
        <v>80</v>
      </c>
      <c r="B4789" t="e">
        <f>-CAPITAL IMPROVEMENT</f>
        <v>#NAME?</v>
      </c>
      <c r="C4789" s="2">
        <v>1576407</v>
      </c>
      <c r="D4789" s="2">
        <v>396478</v>
      </c>
      <c r="E4789" s="2">
        <v>285371</v>
      </c>
      <c r="F4789">
        <v>0</v>
      </c>
      <c r="G4789" s="2">
        <v>3613430</v>
      </c>
      <c r="H4789">
        <v>0</v>
      </c>
    </row>
    <row r="4790" spans="1:10" x14ac:dyDescent="0.25">
      <c r="A4790" t="s">
        <v>18</v>
      </c>
      <c r="B4790" t="s">
        <v>19</v>
      </c>
      <c r="C4790" t="s">
        <v>20</v>
      </c>
      <c r="D4790" t="s">
        <v>21</v>
      </c>
      <c r="E4790" t="s">
        <v>26</v>
      </c>
    </row>
    <row r="4791" spans="1:10" x14ac:dyDescent="0.25">
      <c r="E4791" t="s">
        <v>339</v>
      </c>
      <c r="F4791" t="s">
        <v>23</v>
      </c>
      <c r="G4791" t="s">
        <v>24</v>
      </c>
      <c r="H4791" t="s">
        <v>20</v>
      </c>
      <c r="I4791" t="s">
        <v>24</v>
      </c>
      <c r="J4791" t="s">
        <v>20</v>
      </c>
    </row>
    <row r="4793" spans="1:10" x14ac:dyDescent="0.25">
      <c r="A4793" t="s">
        <v>1609</v>
      </c>
      <c r="B4793" t="s">
        <v>1610</v>
      </c>
      <c r="C4793" s="2">
        <v>1576407</v>
      </c>
      <c r="D4793" s="2">
        <v>396478</v>
      </c>
      <c r="E4793" s="2">
        <v>285371</v>
      </c>
      <c r="F4793">
        <v>0</v>
      </c>
      <c r="G4793" s="2">
        <v>3613430</v>
      </c>
      <c r="H4793">
        <v>0</v>
      </c>
    </row>
    <row r="4795" spans="1:10" x14ac:dyDescent="0.25">
      <c r="A4795" t="s">
        <v>1611</v>
      </c>
      <c r="B4795" t="s">
        <v>1612</v>
      </c>
      <c r="C4795" s="2">
        <v>-912729</v>
      </c>
      <c r="D4795" s="2">
        <v>-339253</v>
      </c>
      <c r="E4795" s="2">
        <v>26580957</v>
      </c>
      <c r="F4795">
        <v>0</v>
      </c>
      <c r="G4795" s="2">
        <v>-2910313</v>
      </c>
      <c r="H4795">
        <v>0</v>
      </c>
    </row>
    <row r="4798" spans="1:10" x14ac:dyDescent="0.25">
      <c r="A4798" t="s">
        <v>1613</v>
      </c>
      <c r="B4798" t="s">
        <v>1614</v>
      </c>
    </row>
    <row r="4799" spans="1:10" x14ac:dyDescent="0.25">
      <c r="A4799" t="s">
        <v>110</v>
      </c>
    </row>
    <row r="4800" spans="1:10" x14ac:dyDescent="0.25">
      <c r="A4800" s="1">
        <v>43991</v>
      </c>
      <c r="B4800" t="s">
        <v>1615</v>
      </c>
      <c r="D4800" t="s">
        <v>112</v>
      </c>
      <c r="E4800" t="s">
        <v>113</v>
      </c>
      <c r="F4800" t="s">
        <v>114</v>
      </c>
      <c r="J4800" t="s">
        <v>1616</v>
      </c>
    </row>
    <row r="4801" spans="1:10" x14ac:dyDescent="0.25">
      <c r="D4801" t="s">
        <v>116</v>
      </c>
      <c r="E4801" t="s">
        <v>117</v>
      </c>
      <c r="F4801" t="s">
        <v>118</v>
      </c>
    </row>
    <row r="4802" spans="1:10" x14ac:dyDescent="0.25">
      <c r="D4802" t="s">
        <v>119</v>
      </c>
      <c r="E4802" t="s">
        <v>120</v>
      </c>
      <c r="F4802" t="s">
        <v>121</v>
      </c>
    </row>
    <row r="4803" spans="1:10" x14ac:dyDescent="0.25">
      <c r="A4803" t="s">
        <v>3214</v>
      </c>
      <c r="B4803" t="s">
        <v>3215</v>
      </c>
    </row>
    <row r="4804" spans="1:10" x14ac:dyDescent="0.25">
      <c r="A4804" t="s">
        <v>1</v>
      </c>
    </row>
    <row r="4805" spans="1:10" x14ac:dyDescent="0.25">
      <c r="F4805" t="s">
        <v>2</v>
      </c>
      <c r="G4805" t="s">
        <v>3</v>
      </c>
      <c r="H4805" t="s">
        <v>4</v>
      </c>
      <c r="I4805" t="s">
        <v>5</v>
      </c>
      <c r="J4805" t="s">
        <v>6</v>
      </c>
    </row>
    <row r="4806" spans="1:10" x14ac:dyDescent="0.25">
      <c r="C4806" t="s">
        <v>7</v>
      </c>
      <c r="D4806" t="s">
        <v>8</v>
      </c>
      <c r="E4806" t="s">
        <v>9</v>
      </c>
      <c r="F4806" t="s">
        <v>10</v>
      </c>
      <c r="G4806" t="s">
        <v>124</v>
      </c>
      <c r="H4806" t="s">
        <v>12</v>
      </c>
      <c r="I4806" t="s">
        <v>13</v>
      </c>
      <c r="J4806" t="s">
        <v>14</v>
      </c>
    </row>
    <row r="4807" spans="1:10" x14ac:dyDescent="0.25">
      <c r="C4807" t="s">
        <v>15</v>
      </c>
      <c r="D4807" t="s">
        <v>15</v>
      </c>
      <c r="E4807" t="s">
        <v>15</v>
      </c>
      <c r="F4807" t="s">
        <v>16</v>
      </c>
      <c r="G4807" t="s">
        <v>15</v>
      </c>
      <c r="H4807" t="s">
        <v>17</v>
      </c>
      <c r="I4807" t="s">
        <v>16</v>
      </c>
      <c r="J4807" t="s">
        <v>16</v>
      </c>
    </row>
    <row r="4808" spans="1:10" x14ac:dyDescent="0.25">
      <c r="A4808" t="s">
        <v>18</v>
      </c>
      <c r="B4808" t="s">
        <v>19</v>
      </c>
      <c r="C4808" t="s">
        <v>20</v>
      </c>
      <c r="D4808" t="s">
        <v>21</v>
      </c>
      <c r="E4808" t="s">
        <v>22</v>
      </c>
      <c r="F4808" t="s">
        <v>23</v>
      </c>
      <c r="G4808" t="s">
        <v>24</v>
      </c>
      <c r="H4808" t="s">
        <v>20</v>
      </c>
      <c r="I4808" t="s">
        <v>24</v>
      </c>
      <c r="J4808" t="s">
        <v>20</v>
      </c>
    </row>
    <row r="4810" spans="1:10" x14ac:dyDescent="0.25">
      <c r="A4810" t="s">
        <v>3216</v>
      </c>
      <c r="B4810" t="s">
        <v>3217</v>
      </c>
    </row>
    <row r="4811" spans="1:10" x14ac:dyDescent="0.25">
      <c r="A4811" t="s">
        <v>18</v>
      </c>
      <c r="B4811" t="s">
        <v>23</v>
      </c>
    </row>
    <row r="4812" spans="1:10" x14ac:dyDescent="0.25">
      <c r="A4812" t="s">
        <v>1914</v>
      </c>
      <c r="B4812" t="s">
        <v>3218</v>
      </c>
      <c r="C4812" s="2">
        <v>78201</v>
      </c>
      <c r="D4812" s="2">
        <v>369812</v>
      </c>
      <c r="E4812" s="2">
        <v>494705</v>
      </c>
      <c r="F4812" s="2">
        <v>366083</v>
      </c>
      <c r="G4812" s="2">
        <v>267119</v>
      </c>
      <c r="H4812">
        <v>0</v>
      </c>
      <c r="I4812" t="s">
        <v>22</v>
      </c>
      <c r="J4812" t="s">
        <v>22</v>
      </c>
    </row>
    <row r="4813" spans="1:10" x14ac:dyDescent="0.25">
      <c r="C4813" t="s">
        <v>108</v>
      </c>
      <c r="D4813" t="s">
        <v>108</v>
      </c>
      <c r="E4813" t="s">
        <v>108</v>
      </c>
      <c r="F4813" t="s">
        <v>108</v>
      </c>
      <c r="G4813" t="s">
        <v>108</v>
      </c>
    </row>
    <row r="4814" spans="1:10" x14ac:dyDescent="0.25">
      <c r="H4814" t="s">
        <v>22</v>
      </c>
      <c r="I4814" t="s">
        <v>22</v>
      </c>
      <c r="J4814" t="s">
        <v>22</v>
      </c>
    </row>
    <row r="4815" spans="1:10" x14ac:dyDescent="0.25">
      <c r="A4815" t="s">
        <v>109</v>
      </c>
    </row>
    <row r="4816" spans="1:10" x14ac:dyDescent="0.25">
      <c r="B4816" t="s">
        <v>3219</v>
      </c>
      <c r="C4816" s="2">
        <v>78201</v>
      </c>
      <c r="D4816" s="2">
        <v>369812</v>
      </c>
      <c r="E4816" s="2">
        <v>494705</v>
      </c>
      <c r="F4816" s="2">
        <v>366083</v>
      </c>
      <c r="G4816" s="2">
        <v>267119</v>
      </c>
      <c r="H4816">
        <v>0</v>
      </c>
    </row>
    <row r="4818" spans="1:10" x14ac:dyDescent="0.25">
      <c r="A4818" t="s">
        <v>1953</v>
      </c>
      <c r="B4818" t="s">
        <v>3220</v>
      </c>
    </row>
    <row r="4819" spans="1:10" x14ac:dyDescent="0.25">
      <c r="A4819" t="s">
        <v>18</v>
      </c>
      <c r="B4819" t="s">
        <v>23</v>
      </c>
    </row>
    <row r="4820" spans="1:10" x14ac:dyDescent="0.25">
      <c r="A4820" t="s">
        <v>3221</v>
      </c>
      <c r="B4820" t="s">
        <v>3222</v>
      </c>
      <c r="C4820" s="2">
        <v>1255284</v>
      </c>
      <c r="D4820" s="2">
        <v>666434</v>
      </c>
      <c r="E4820" s="2">
        <v>487554</v>
      </c>
      <c r="F4820" s="2">
        <v>353203</v>
      </c>
      <c r="G4820" s="2">
        <v>250992</v>
      </c>
      <c r="H4820">
        <v>0</v>
      </c>
      <c r="I4820" t="s">
        <v>22</v>
      </c>
      <c r="J4820" t="s">
        <v>22</v>
      </c>
    </row>
    <row r="4821" spans="1:10" x14ac:dyDescent="0.25">
      <c r="A4821" t="s">
        <v>3223</v>
      </c>
      <c r="B4821" t="s">
        <v>3224</v>
      </c>
      <c r="C4821">
        <v>0</v>
      </c>
      <c r="D4821">
        <v>0</v>
      </c>
      <c r="E4821">
        <v>0</v>
      </c>
      <c r="F4821">
        <v>0</v>
      </c>
      <c r="G4821">
        <v>0</v>
      </c>
      <c r="H4821">
        <v>0</v>
      </c>
      <c r="I4821" t="s">
        <v>22</v>
      </c>
      <c r="J4821" t="s">
        <v>22</v>
      </c>
    </row>
    <row r="4822" spans="1:10" x14ac:dyDescent="0.25">
      <c r="C4822" t="s">
        <v>108</v>
      </c>
      <c r="D4822" t="s">
        <v>108</v>
      </c>
      <c r="E4822" t="s">
        <v>108</v>
      </c>
      <c r="F4822" t="s">
        <v>108</v>
      </c>
      <c r="G4822" t="s">
        <v>108</v>
      </c>
    </row>
    <row r="4823" spans="1:10" x14ac:dyDescent="0.25">
      <c r="H4823" t="s">
        <v>22</v>
      </c>
      <c r="I4823" t="s">
        <v>22</v>
      </c>
      <c r="J4823" t="s">
        <v>22</v>
      </c>
    </row>
    <row r="4824" spans="1:10" x14ac:dyDescent="0.25">
      <c r="A4824" t="s">
        <v>109</v>
      </c>
    </row>
    <row r="4825" spans="1:10" x14ac:dyDescent="0.25">
      <c r="B4825" t="s">
        <v>3225</v>
      </c>
      <c r="C4825" s="2">
        <v>1255284</v>
      </c>
      <c r="D4825" s="2">
        <v>666434</v>
      </c>
      <c r="E4825" s="2">
        <v>487554</v>
      </c>
      <c r="F4825" s="2">
        <v>353203</v>
      </c>
      <c r="G4825" s="2">
        <v>250992</v>
      </c>
      <c r="H4825">
        <v>0</v>
      </c>
    </row>
    <row r="4827" spans="1:10" x14ac:dyDescent="0.25">
      <c r="A4827" t="s">
        <v>1983</v>
      </c>
      <c r="B4827" t="s">
        <v>3220</v>
      </c>
    </row>
    <row r="4828" spans="1:10" x14ac:dyDescent="0.25">
      <c r="A4828" t="s">
        <v>18</v>
      </c>
      <c r="B4828" t="s">
        <v>23</v>
      </c>
    </row>
    <row r="4829" spans="1:10" x14ac:dyDescent="0.25">
      <c r="A4829" t="s">
        <v>3226</v>
      </c>
      <c r="B4829" t="s">
        <v>3227</v>
      </c>
      <c r="C4829" s="2">
        <v>968325</v>
      </c>
      <c r="D4829" s="2">
        <v>584700</v>
      </c>
      <c r="E4829" s="2">
        <v>404100</v>
      </c>
      <c r="F4829" s="2">
        <v>308470</v>
      </c>
      <c r="G4829" s="2">
        <v>217940</v>
      </c>
      <c r="H4829">
        <v>0</v>
      </c>
      <c r="I4829" t="s">
        <v>22</v>
      </c>
      <c r="J4829" t="s">
        <v>22</v>
      </c>
    </row>
    <row r="4830" spans="1:10" x14ac:dyDescent="0.25">
      <c r="A4830" t="s">
        <v>3228</v>
      </c>
      <c r="B4830" t="s">
        <v>3229</v>
      </c>
      <c r="C4830">
        <v>0</v>
      </c>
      <c r="D4830">
        <v>0</v>
      </c>
      <c r="E4830">
        <v>0</v>
      </c>
      <c r="F4830">
        <v>0</v>
      </c>
      <c r="G4830">
        <v>0</v>
      </c>
      <c r="H4830">
        <v>0</v>
      </c>
      <c r="I4830" t="s">
        <v>22</v>
      </c>
      <c r="J4830" t="s">
        <v>22</v>
      </c>
    </row>
    <row r="4831" spans="1:10" x14ac:dyDescent="0.25">
      <c r="C4831" t="s">
        <v>108</v>
      </c>
      <c r="D4831" t="s">
        <v>108</v>
      </c>
      <c r="E4831" t="s">
        <v>108</v>
      </c>
      <c r="F4831" t="s">
        <v>108</v>
      </c>
      <c r="G4831" t="s">
        <v>108</v>
      </c>
    </row>
    <row r="4832" spans="1:10" x14ac:dyDescent="0.25">
      <c r="H4832" t="s">
        <v>22</v>
      </c>
      <c r="I4832" t="s">
        <v>22</v>
      </c>
      <c r="J4832" t="s">
        <v>22</v>
      </c>
    </row>
    <row r="4833" spans="1:10" x14ac:dyDescent="0.25">
      <c r="A4833" t="s">
        <v>109</v>
      </c>
    </row>
    <row r="4834" spans="1:10" x14ac:dyDescent="0.25">
      <c r="B4834" t="s">
        <v>3230</v>
      </c>
      <c r="C4834" s="2">
        <v>968325</v>
      </c>
      <c r="D4834" s="2">
        <v>584700</v>
      </c>
      <c r="E4834" s="2">
        <v>404100</v>
      </c>
      <c r="F4834" s="2">
        <v>308470</v>
      </c>
      <c r="G4834" s="2">
        <v>217940</v>
      </c>
      <c r="H4834">
        <v>0</v>
      </c>
    </row>
    <row r="4835" spans="1:10" x14ac:dyDescent="0.25">
      <c r="A4835" t="s">
        <v>18</v>
      </c>
      <c r="B4835" t="s">
        <v>19</v>
      </c>
      <c r="C4835" t="s">
        <v>20</v>
      </c>
      <c r="D4835" t="s">
        <v>21</v>
      </c>
      <c r="E4835" t="s">
        <v>26</v>
      </c>
    </row>
    <row r="4836" spans="1:10" x14ac:dyDescent="0.25">
      <c r="E4836" t="s">
        <v>339</v>
      </c>
      <c r="F4836" t="s">
        <v>23</v>
      </c>
      <c r="G4836" t="s">
        <v>24</v>
      </c>
      <c r="H4836" t="s">
        <v>20</v>
      </c>
      <c r="I4836" t="s">
        <v>24</v>
      </c>
      <c r="J4836" t="s">
        <v>20</v>
      </c>
    </row>
    <row r="4838" spans="1:10" x14ac:dyDescent="0.25">
      <c r="A4838" t="s">
        <v>383</v>
      </c>
      <c r="B4838" t="s">
        <v>384</v>
      </c>
      <c r="C4838" s="2">
        <v>2301810</v>
      </c>
      <c r="D4838" s="2">
        <v>1620946</v>
      </c>
      <c r="E4838" s="2">
        <v>1386359</v>
      </c>
      <c r="F4838" s="2">
        <v>1027756</v>
      </c>
      <c r="G4838" s="2">
        <v>736051</v>
      </c>
      <c r="H4838">
        <v>0</v>
      </c>
    </row>
    <row r="4839" spans="1:10" x14ac:dyDescent="0.25">
      <c r="A4839" t="s">
        <v>110</v>
      </c>
    </row>
    <row r="4840" spans="1:10" x14ac:dyDescent="0.25">
      <c r="A4840" s="1">
        <v>43991</v>
      </c>
      <c r="B4840" t="s">
        <v>1615</v>
      </c>
      <c r="D4840" t="s">
        <v>112</v>
      </c>
      <c r="E4840" t="s">
        <v>113</v>
      </c>
      <c r="F4840" t="s">
        <v>114</v>
      </c>
      <c r="J4840" t="s">
        <v>115</v>
      </c>
    </row>
    <row r="4841" spans="1:10" x14ac:dyDescent="0.25">
      <c r="D4841" t="s">
        <v>116</v>
      </c>
      <c r="E4841" t="s">
        <v>117</v>
      </c>
      <c r="F4841" t="s">
        <v>118</v>
      </c>
    </row>
    <row r="4842" spans="1:10" x14ac:dyDescent="0.25">
      <c r="D4842" t="s">
        <v>119</v>
      </c>
      <c r="E4842" t="s">
        <v>120</v>
      </c>
      <c r="F4842" t="s">
        <v>121</v>
      </c>
    </row>
    <row r="4843" spans="1:10" x14ac:dyDescent="0.25">
      <c r="A4843" t="s">
        <v>3214</v>
      </c>
      <c r="B4843" t="s">
        <v>3215</v>
      </c>
    </row>
    <row r="4844" spans="1:10" x14ac:dyDescent="0.25">
      <c r="A4844" t="s">
        <v>386</v>
      </c>
    </row>
    <row r="4845" spans="1:10" x14ac:dyDescent="0.25">
      <c r="F4845" t="s">
        <v>2</v>
      </c>
      <c r="G4845" t="s">
        <v>3</v>
      </c>
      <c r="H4845" t="s">
        <v>4</v>
      </c>
      <c r="I4845" t="s">
        <v>5</v>
      </c>
      <c r="J4845" t="s">
        <v>6</v>
      </c>
    </row>
    <row r="4846" spans="1:10" x14ac:dyDescent="0.25">
      <c r="C4846" t="s">
        <v>7</v>
      </c>
      <c r="D4846" t="s">
        <v>8</v>
      </c>
      <c r="E4846" t="s">
        <v>9</v>
      </c>
      <c r="F4846" t="s">
        <v>10</v>
      </c>
      <c r="G4846" t="s">
        <v>124</v>
      </c>
      <c r="H4846" t="s">
        <v>12</v>
      </c>
      <c r="I4846" t="s">
        <v>13</v>
      </c>
      <c r="J4846" t="s">
        <v>14</v>
      </c>
    </row>
    <row r="4847" spans="1:10" x14ac:dyDescent="0.25">
      <c r="C4847" t="s">
        <v>15</v>
      </c>
      <c r="D4847" t="s">
        <v>15</v>
      </c>
      <c r="E4847" t="s">
        <v>15</v>
      </c>
      <c r="F4847" t="s">
        <v>16</v>
      </c>
      <c r="G4847" t="s">
        <v>15</v>
      </c>
      <c r="H4847" t="s">
        <v>17</v>
      </c>
      <c r="I4847" t="s">
        <v>16</v>
      </c>
      <c r="J4847" t="s">
        <v>16</v>
      </c>
    </row>
    <row r="4848" spans="1:10" x14ac:dyDescent="0.25">
      <c r="A4848" t="s">
        <v>18</v>
      </c>
      <c r="B4848" t="s">
        <v>19</v>
      </c>
      <c r="C4848" t="s">
        <v>20</v>
      </c>
      <c r="D4848" t="s">
        <v>21</v>
      </c>
      <c r="E4848" t="s">
        <v>22</v>
      </c>
      <c r="F4848" t="s">
        <v>23</v>
      </c>
      <c r="G4848" t="s">
        <v>24</v>
      </c>
      <c r="H4848" t="s">
        <v>20</v>
      </c>
      <c r="I4848" t="s">
        <v>24</v>
      </c>
      <c r="J4848" t="s">
        <v>20</v>
      </c>
    </row>
    <row r="4851" spans="1:10" x14ac:dyDescent="0.25">
      <c r="A4851" t="s">
        <v>3231</v>
      </c>
      <c r="B4851" t="s">
        <v>3232</v>
      </c>
    </row>
    <row r="4852" spans="1:10" x14ac:dyDescent="0.25">
      <c r="A4852" t="s">
        <v>389</v>
      </c>
      <c r="B4852" t="s">
        <v>538</v>
      </c>
    </row>
    <row r="4854" spans="1:10" x14ac:dyDescent="0.25">
      <c r="A4854" t="s">
        <v>501</v>
      </c>
    </row>
    <row r="4855" spans="1:10" x14ac:dyDescent="0.25">
      <c r="A4855" t="s">
        <v>18</v>
      </c>
    </row>
    <row r="4856" spans="1:10" x14ac:dyDescent="0.25">
      <c r="A4856" t="s">
        <v>518</v>
      </c>
      <c r="B4856" t="s">
        <v>3233</v>
      </c>
      <c r="C4856">
        <v>0</v>
      </c>
      <c r="D4856">
        <v>0</v>
      </c>
      <c r="E4856">
        <v>0</v>
      </c>
      <c r="F4856">
        <v>0</v>
      </c>
      <c r="G4856">
        <v>0</v>
      </c>
      <c r="H4856">
        <v>0</v>
      </c>
      <c r="I4856" t="s">
        <v>22</v>
      </c>
      <c r="J4856" t="s">
        <v>22</v>
      </c>
    </row>
    <row r="4857" spans="1:10" x14ac:dyDescent="0.25">
      <c r="C4857" t="s">
        <v>108</v>
      </c>
      <c r="D4857" t="s">
        <v>108</v>
      </c>
      <c r="E4857" t="s">
        <v>108</v>
      </c>
      <c r="F4857" t="s">
        <v>108</v>
      </c>
      <c r="G4857" t="s">
        <v>108</v>
      </c>
    </row>
    <row r="4858" spans="1:10" x14ac:dyDescent="0.25">
      <c r="H4858" t="s">
        <v>22</v>
      </c>
      <c r="I4858" t="s">
        <v>22</v>
      </c>
      <c r="J4858" t="s">
        <v>22</v>
      </c>
    </row>
    <row r="4859" spans="1:10" x14ac:dyDescent="0.25">
      <c r="A4859" t="s">
        <v>109</v>
      </c>
    </row>
    <row r="4860" spans="1:10" x14ac:dyDescent="0.25">
      <c r="B4860" t="s">
        <v>501</v>
      </c>
      <c r="C4860">
        <v>0</v>
      </c>
      <c r="D4860">
        <v>0</v>
      </c>
      <c r="E4860">
        <v>0</v>
      </c>
      <c r="F4860">
        <v>0</v>
      </c>
      <c r="G4860">
        <v>0</v>
      </c>
      <c r="H4860">
        <v>0</v>
      </c>
    </row>
    <row r="4861" spans="1:10" x14ac:dyDescent="0.25">
      <c r="A4861" t="s">
        <v>18</v>
      </c>
      <c r="B4861" t="s">
        <v>19</v>
      </c>
      <c r="C4861" t="s">
        <v>20</v>
      </c>
      <c r="D4861" t="s">
        <v>21</v>
      </c>
      <c r="E4861" t="s">
        <v>26</v>
      </c>
    </row>
    <row r="4862" spans="1:10" x14ac:dyDescent="0.25">
      <c r="E4862" t="s">
        <v>339</v>
      </c>
      <c r="F4862" t="s">
        <v>23</v>
      </c>
      <c r="G4862" t="s">
        <v>24</v>
      </c>
      <c r="H4862" t="s">
        <v>20</v>
      </c>
      <c r="I4862" t="s">
        <v>24</v>
      </c>
      <c r="J4862" t="s">
        <v>20</v>
      </c>
    </row>
    <row r="4863" spans="1:10" x14ac:dyDescent="0.25">
      <c r="A4863" t="s">
        <v>109</v>
      </c>
    </row>
    <row r="4864" spans="1:10" x14ac:dyDescent="0.25">
      <c r="A4864">
        <v>10</v>
      </c>
      <c r="B4864" t="e">
        <f>-IMPACT FEE ADMIN</f>
        <v>#NAME?</v>
      </c>
      <c r="C4864">
        <v>0</v>
      </c>
      <c r="D4864">
        <v>0</v>
      </c>
      <c r="E4864">
        <v>0</v>
      </c>
      <c r="F4864">
        <v>0</v>
      </c>
      <c r="G4864">
        <v>0</v>
      </c>
      <c r="H4864">
        <v>0</v>
      </c>
    </row>
    <row r="4866" spans="1:10" x14ac:dyDescent="0.25">
      <c r="A4866" t="s">
        <v>3234</v>
      </c>
      <c r="B4866" t="s">
        <v>3235</v>
      </c>
    </row>
    <row r="4867" spans="1:10" x14ac:dyDescent="0.25">
      <c r="A4867" t="s">
        <v>389</v>
      </c>
      <c r="B4867" t="s">
        <v>538</v>
      </c>
    </row>
    <row r="4869" spans="1:10" x14ac:dyDescent="0.25">
      <c r="A4869" t="s">
        <v>442</v>
      </c>
      <c r="B4869" t="s">
        <v>443</v>
      </c>
    </row>
    <row r="4870" spans="1:10" x14ac:dyDescent="0.25">
      <c r="A4870" t="s">
        <v>18</v>
      </c>
      <c r="B4870" t="s">
        <v>21</v>
      </c>
    </row>
    <row r="4871" spans="1:10" x14ac:dyDescent="0.25">
      <c r="A4871" t="s">
        <v>3236</v>
      </c>
      <c r="B4871" t="s">
        <v>3237</v>
      </c>
      <c r="C4871" s="2">
        <v>80000</v>
      </c>
      <c r="D4871" s="2">
        <v>80000</v>
      </c>
      <c r="E4871" s="2">
        <v>80000</v>
      </c>
      <c r="F4871" s="2">
        <v>80000</v>
      </c>
      <c r="G4871" s="2">
        <v>80000</v>
      </c>
      <c r="H4871">
        <v>0</v>
      </c>
      <c r="I4871" t="s">
        <v>22</v>
      </c>
      <c r="J4871" t="s">
        <v>22</v>
      </c>
    </row>
    <row r="4872" spans="1:10" x14ac:dyDescent="0.25">
      <c r="C4872" t="s">
        <v>108</v>
      </c>
      <c r="D4872" t="s">
        <v>108</v>
      </c>
      <c r="E4872" t="s">
        <v>108</v>
      </c>
      <c r="F4872" t="s">
        <v>108</v>
      </c>
      <c r="G4872" t="s">
        <v>108</v>
      </c>
    </row>
    <row r="4873" spans="1:10" x14ac:dyDescent="0.25">
      <c r="H4873" t="s">
        <v>22</v>
      </c>
      <c r="I4873" t="s">
        <v>22</v>
      </c>
      <c r="J4873" t="s">
        <v>22</v>
      </c>
    </row>
    <row r="4874" spans="1:10" x14ac:dyDescent="0.25">
      <c r="A4874" t="s">
        <v>109</v>
      </c>
    </row>
    <row r="4875" spans="1:10" x14ac:dyDescent="0.25">
      <c r="B4875" t="s">
        <v>478</v>
      </c>
      <c r="C4875" s="2">
        <v>80000</v>
      </c>
      <c r="D4875" s="2">
        <v>80000</v>
      </c>
      <c r="E4875" s="2">
        <v>80000</v>
      </c>
      <c r="F4875" s="2">
        <v>80000</v>
      </c>
      <c r="G4875" s="2">
        <v>80000</v>
      </c>
      <c r="H4875">
        <v>0</v>
      </c>
    </row>
    <row r="4877" spans="1:10" x14ac:dyDescent="0.25">
      <c r="A4877" t="s">
        <v>489</v>
      </c>
    </row>
    <row r="4878" spans="1:10" x14ac:dyDescent="0.25">
      <c r="A4878" t="s">
        <v>18</v>
      </c>
    </row>
    <row r="4879" spans="1:10" x14ac:dyDescent="0.25">
      <c r="A4879" t="s">
        <v>3238</v>
      </c>
      <c r="B4879" t="s">
        <v>3239</v>
      </c>
      <c r="C4879" s="2">
        <v>1686500</v>
      </c>
      <c r="D4879">
        <v>0</v>
      </c>
      <c r="E4879">
        <v>0</v>
      </c>
      <c r="F4879">
        <v>0</v>
      </c>
      <c r="G4879">
        <v>0</v>
      </c>
      <c r="H4879">
        <v>0</v>
      </c>
      <c r="I4879" t="s">
        <v>22</v>
      </c>
      <c r="J4879" t="s">
        <v>22</v>
      </c>
    </row>
    <row r="4880" spans="1:10" x14ac:dyDescent="0.25">
      <c r="A4880" t="s">
        <v>3240</v>
      </c>
      <c r="B4880" t="s">
        <v>3241</v>
      </c>
      <c r="C4880">
        <v>0</v>
      </c>
      <c r="D4880">
        <v>0</v>
      </c>
      <c r="E4880">
        <v>0</v>
      </c>
      <c r="F4880">
        <v>0</v>
      </c>
      <c r="G4880">
        <v>0</v>
      </c>
      <c r="H4880">
        <v>0</v>
      </c>
      <c r="I4880" t="s">
        <v>22</v>
      </c>
      <c r="J4880" t="s">
        <v>22</v>
      </c>
    </row>
    <row r="4881" spans="1:10" x14ac:dyDescent="0.25">
      <c r="C4881" t="s">
        <v>108</v>
      </c>
      <c r="D4881" t="s">
        <v>108</v>
      </c>
      <c r="E4881" t="s">
        <v>108</v>
      </c>
      <c r="F4881" t="s">
        <v>108</v>
      </c>
      <c r="G4881" t="s">
        <v>108</v>
      </c>
    </row>
    <row r="4882" spans="1:10" x14ac:dyDescent="0.25">
      <c r="H4882" t="s">
        <v>22</v>
      </c>
      <c r="I4882" t="s">
        <v>22</v>
      </c>
      <c r="J4882" t="s">
        <v>22</v>
      </c>
    </row>
    <row r="4883" spans="1:10" x14ac:dyDescent="0.25">
      <c r="A4883" t="s">
        <v>109</v>
      </c>
    </row>
    <row r="4884" spans="1:10" x14ac:dyDescent="0.25">
      <c r="B4884" t="s">
        <v>489</v>
      </c>
      <c r="C4884" s="2">
        <v>1686500</v>
      </c>
      <c r="D4884">
        <v>0</v>
      </c>
      <c r="E4884">
        <v>0</v>
      </c>
      <c r="F4884">
        <v>0</v>
      </c>
      <c r="G4884">
        <v>0</v>
      </c>
      <c r="H4884">
        <v>0</v>
      </c>
    </row>
    <row r="4886" spans="1:10" x14ac:dyDescent="0.25">
      <c r="A4886" t="s">
        <v>501</v>
      </c>
    </row>
    <row r="4887" spans="1:10" x14ac:dyDescent="0.25">
      <c r="A4887" t="s">
        <v>18</v>
      </c>
    </row>
    <row r="4888" spans="1:10" x14ac:dyDescent="0.25">
      <c r="A4888" t="s">
        <v>2210</v>
      </c>
      <c r="B4888" t="s">
        <v>3242</v>
      </c>
      <c r="C4888" s="2">
        <v>531663</v>
      </c>
      <c r="D4888">
        <v>0</v>
      </c>
      <c r="E4888">
        <v>0</v>
      </c>
      <c r="F4888">
        <v>0</v>
      </c>
      <c r="G4888">
        <v>0</v>
      </c>
      <c r="H4888">
        <v>0</v>
      </c>
      <c r="I4888" t="s">
        <v>22</v>
      </c>
      <c r="J4888" t="s">
        <v>22</v>
      </c>
    </row>
    <row r="4889" spans="1:10" x14ac:dyDescent="0.25">
      <c r="C4889" t="s">
        <v>108</v>
      </c>
      <c r="D4889" t="s">
        <v>108</v>
      </c>
      <c r="E4889" t="s">
        <v>108</v>
      </c>
      <c r="F4889" t="s">
        <v>108</v>
      </c>
      <c r="G4889" t="s">
        <v>108</v>
      </c>
    </row>
    <row r="4890" spans="1:10" x14ac:dyDescent="0.25">
      <c r="H4890" t="s">
        <v>22</v>
      </c>
      <c r="I4890" t="s">
        <v>22</v>
      </c>
      <c r="J4890" t="s">
        <v>22</v>
      </c>
    </row>
    <row r="4891" spans="1:10" x14ac:dyDescent="0.25">
      <c r="A4891" t="s">
        <v>109</v>
      </c>
    </row>
    <row r="4892" spans="1:10" x14ac:dyDescent="0.25">
      <c r="B4892" t="s">
        <v>501</v>
      </c>
      <c r="C4892" s="2">
        <v>531663</v>
      </c>
      <c r="D4892">
        <v>0</v>
      </c>
      <c r="E4892">
        <v>0</v>
      </c>
      <c r="F4892">
        <v>0</v>
      </c>
      <c r="G4892">
        <v>0</v>
      </c>
      <c r="H4892">
        <v>0</v>
      </c>
    </row>
    <row r="4893" spans="1:10" x14ac:dyDescent="0.25">
      <c r="A4893" t="s">
        <v>18</v>
      </c>
      <c r="B4893" t="s">
        <v>19</v>
      </c>
      <c r="C4893" t="s">
        <v>20</v>
      </c>
      <c r="D4893" t="s">
        <v>21</v>
      </c>
      <c r="E4893" t="s">
        <v>26</v>
      </c>
    </row>
    <row r="4894" spans="1:10" x14ac:dyDescent="0.25">
      <c r="E4894" t="s">
        <v>339</v>
      </c>
      <c r="F4894" t="s">
        <v>23</v>
      </c>
      <c r="G4894" t="s">
        <v>24</v>
      </c>
      <c r="H4894" t="s">
        <v>20</v>
      </c>
      <c r="I4894" t="s">
        <v>24</v>
      </c>
      <c r="J4894" t="s">
        <v>20</v>
      </c>
    </row>
    <row r="4895" spans="1:10" x14ac:dyDescent="0.25">
      <c r="A4895" t="s">
        <v>109</v>
      </c>
    </row>
    <row r="4896" spans="1:10" x14ac:dyDescent="0.25">
      <c r="A4896">
        <v>60</v>
      </c>
      <c r="B4896" t="e">
        <f>-IMPACT FEE WATER</f>
        <v>#NAME?</v>
      </c>
      <c r="C4896" s="2">
        <v>2298163</v>
      </c>
      <c r="D4896" s="2">
        <v>80000</v>
      </c>
      <c r="E4896" s="2">
        <v>80000</v>
      </c>
      <c r="F4896" s="2">
        <v>80000</v>
      </c>
      <c r="G4896" s="2">
        <v>80000</v>
      </c>
      <c r="H4896">
        <v>0</v>
      </c>
    </row>
    <row r="4898" spans="1:10" x14ac:dyDescent="0.25">
      <c r="A4898" t="s">
        <v>3243</v>
      </c>
      <c r="B4898" t="s">
        <v>3244</v>
      </c>
    </row>
    <row r="4899" spans="1:10" x14ac:dyDescent="0.25">
      <c r="A4899" t="s">
        <v>389</v>
      </c>
      <c r="B4899" t="s">
        <v>538</v>
      </c>
    </row>
    <row r="4901" spans="1:10" x14ac:dyDescent="0.25">
      <c r="A4901" t="s">
        <v>489</v>
      </c>
    </row>
    <row r="4902" spans="1:10" x14ac:dyDescent="0.25">
      <c r="A4902" t="s">
        <v>18</v>
      </c>
    </row>
    <row r="4903" spans="1:10" x14ac:dyDescent="0.25">
      <c r="A4903" t="s">
        <v>3245</v>
      </c>
      <c r="B4903" t="s">
        <v>3246</v>
      </c>
      <c r="C4903" s="2">
        <v>9500</v>
      </c>
      <c r="D4903">
        <v>0</v>
      </c>
      <c r="E4903">
        <v>0</v>
      </c>
      <c r="F4903">
        <v>0</v>
      </c>
      <c r="G4903">
        <v>0</v>
      </c>
      <c r="H4903">
        <v>0</v>
      </c>
      <c r="I4903" t="s">
        <v>22</v>
      </c>
      <c r="J4903" t="s">
        <v>22</v>
      </c>
    </row>
    <row r="4904" spans="1:10" x14ac:dyDescent="0.25">
      <c r="A4904" t="s">
        <v>3247</v>
      </c>
      <c r="B4904" t="s">
        <v>3248</v>
      </c>
      <c r="C4904">
        <v>0</v>
      </c>
      <c r="D4904">
        <v>0</v>
      </c>
      <c r="E4904">
        <v>0</v>
      </c>
      <c r="F4904">
        <v>0</v>
      </c>
      <c r="G4904">
        <v>0</v>
      </c>
      <c r="H4904">
        <v>0</v>
      </c>
      <c r="I4904" t="s">
        <v>22</v>
      </c>
      <c r="J4904" t="s">
        <v>22</v>
      </c>
    </row>
    <row r="4905" spans="1:10" x14ac:dyDescent="0.25">
      <c r="C4905" t="s">
        <v>108</v>
      </c>
      <c r="D4905" t="s">
        <v>108</v>
      </c>
      <c r="E4905" t="s">
        <v>108</v>
      </c>
      <c r="F4905" t="s">
        <v>108</v>
      </c>
      <c r="G4905" t="s">
        <v>108</v>
      </c>
    </row>
    <row r="4906" spans="1:10" x14ac:dyDescent="0.25">
      <c r="H4906" t="s">
        <v>22</v>
      </c>
      <c r="I4906" t="s">
        <v>22</v>
      </c>
      <c r="J4906" t="s">
        <v>22</v>
      </c>
    </row>
    <row r="4907" spans="1:10" x14ac:dyDescent="0.25">
      <c r="A4907" t="s">
        <v>109</v>
      </c>
    </row>
    <row r="4908" spans="1:10" x14ac:dyDescent="0.25">
      <c r="B4908" t="s">
        <v>489</v>
      </c>
      <c r="C4908" s="2">
        <v>9500</v>
      </c>
      <c r="D4908">
        <v>0</v>
      </c>
      <c r="E4908">
        <v>0</v>
      </c>
      <c r="F4908">
        <v>0</v>
      </c>
      <c r="G4908">
        <v>0</v>
      </c>
      <c r="H4908">
        <v>0</v>
      </c>
    </row>
    <row r="4910" spans="1:10" x14ac:dyDescent="0.25">
      <c r="A4910" t="s">
        <v>501</v>
      </c>
    </row>
    <row r="4911" spans="1:10" x14ac:dyDescent="0.25">
      <c r="A4911" t="s">
        <v>18</v>
      </c>
    </row>
    <row r="4912" spans="1:10" x14ac:dyDescent="0.25">
      <c r="A4912" t="s">
        <v>2378</v>
      </c>
      <c r="B4912" t="s">
        <v>3249</v>
      </c>
      <c r="C4912">
        <v>0</v>
      </c>
      <c r="D4912">
        <v>0</v>
      </c>
      <c r="E4912">
        <v>0</v>
      </c>
      <c r="F4912">
        <v>0</v>
      </c>
      <c r="G4912">
        <v>0</v>
      </c>
      <c r="H4912">
        <v>0</v>
      </c>
      <c r="I4912" t="s">
        <v>22</v>
      </c>
      <c r="J4912" t="s">
        <v>22</v>
      </c>
    </row>
    <row r="4913" spans="1:10" x14ac:dyDescent="0.25">
      <c r="A4913" t="s">
        <v>2381</v>
      </c>
      <c r="B4913" t="s">
        <v>519</v>
      </c>
      <c r="C4913">
        <v>0</v>
      </c>
      <c r="D4913">
        <v>0</v>
      </c>
      <c r="E4913">
        <v>0</v>
      </c>
      <c r="F4913">
        <v>0</v>
      </c>
      <c r="G4913">
        <v>0</v>
      </c>
      <c r="H4913">
        <v>0</v>
      </c>
      <c r="I4913" t="s">
        <v>22</v>
      </c>
      <c r="J4913" t="s">
        <v>22</v>
      </c>
    </row>
    <row r="4914" spans="1:10" x14ac:dyDescent="0.25">
      <c r="A4914" t="s">
        <v>2383</v>
      </c>
      <c r="B4914" t="s">
        <v>3250</v>
      </c>
      <c r="C4914" s="2">
        <v>568158</v>
      </c>
      <c r="D4914">
        <v>0</v>
      </c>
      <c r="E4914">
        <v>0</v>
      </c>
      <c r="F4914">
        <v>0</v>
      </c>
      <c r="G4914">
        <v>0</v>
      </c>
      <c r="H4914">
        <v>0</v>
      </c>
      <c r="I4914" t="s">
        <v>22</v>
      </c>
      <c r="J4914" t="s">
        <v>22</v>
      </c>
    </row>
    <row r="4915" spans="1:10" x14ac:dyDescent="0.25">
      <c r="C4915" t="s">
        <v>108</v>
      </c>
      <c r="D4915" t="s">
        <v>108</v>
      </c>
      <c r="E4915" t="s">
        <v>108</v>
      </c>
      <c r="F4915" t="s">
        <v>108</v>
      </c>
      <c r="G4915" t="s">
        <v>108</v>
      </c>
    </row>
    <row r="4916" spans="1:10" x14ac:dyDescent="0.25">
      <c r="H4916" t="s">
        <v>22</v>
      </c>
      <c r="I4916" t="s">
        <v>22</v>
      </c>
      <c r="J4916" t="s">
        <v>22</v>
      </c>
    </row>
    <row r="4917" spans="1:10" x14ac:dyDescent="0.25">
      <c r="A4917" t="s">
        <v>109</v>
      </c>
    </row>
    <row r="4918" spans="1:10" x14ac:dyDescent="0.25">
      <c r="B4918" t="s">
        <v>501</v>
      </c>
      <c r="C4918" s="2">
        <v>568158</v>
      </c>
      <c r="D4918">
        <v>0</v>
      </c>
      <c r="E4918">
        <v>0</v>
      </c>
      <c r="F4918">
        <v>0</v>
      </c>
      <c r="G4918">
        <v>0</v>
      </c>
      <c r="H4918">
        <v>0</v>
      </c>
    </row>
    <row r="4919" spans="1:10" x14ac:dyDescent="0.25">
      <c r="A4919" t="s">
        <v>18</v>
      </c>
      <c r="B4919" t="s">
        <v>19</v>
      </c>
      <c r="C4919" t="s">
        <v>20</v>
      </c>
      <c r="D4919" t="s">
        <v>21</v>
      </c>
      <c r="E4919" t="s">
        <v>26</v>
      </c>
    </row>
    <row r="4920" spans="1:10" x14ac:dyDescent="0.25">
      <c r="E4920" t="s">
        <v>339</v>
      </c>
      <c r="F4920" t="s">
        <v>23</v>
      </c>
      <c r="G4920" t="s">
        <v>24</v>
      </c>
      <c r="H4920" t="s">
        <v>20</v>
      </c>
      <c r="I4920" t="s">
        <v>24</v>
      </c>
      <c r="J4920" t="s">
        <v>20</v>
      </c>
    </row>
    <row r="4921" spans="1:10" x14ac:dyDescent="0.25">
      <c r="A4921" t="s">
        <v>109</v>
      </c>
    </row>
    <row r="4922" spans="1:10" x14ac:dyDescent="0.25">
      <c r="A4922">
        <v>70</v>
      </c>
      <c r="B4922" t="e">
        <f>-IMPACT FEE SEWER</f>
        <v>#NAME?</v>
      </c>
      <c r="C4922" s="2">
        <v>577658</v>
      </c>
      <c r="D4922">
        <v>0</v>
      </c>
      <c r="E4922">
        <v>0</v>
      </c>
      <c r="F4922">
        <v>0</v>
      </c>
      <c r="G4922">
        <v>0</v>
      </c>
      <c r="H4922">
        <v>0</v>
      </c>
    </row>
    <row r="4923" spans="1:10" x14ac:dyDescent="0.25">
      <c r="A4923" t="s">
        <v>18</v>
      </c>
      <c r="B4923" t="s">
        <v>19</v>
      </c>
      <c r="C4923" t="s">
        <v>20</v>
      </c>
      <c r="D4923" t="s">
        <v>21</v>
      </c>
      <c r="E4923" t="s">
        <v>26</v>
      </c>
    </row>
    <row r="4924" spans="1:10" x14ac:dyDescent="0.25">
      <c r="E4924" t="s">
        <v>339</v>
      </c>
      <c r="F4924" t="s">
        <v>23</v>
      </c>
      <c r="G4924" t="s">
        <v>24</v>
      </c>
      <c r="H4924" t="s">
        <v>20</v>
      </c>
      <c r="I4924" t="s">
        <v>24</v>
      </c>
      <c r="J4924" t="s">
        <v>20</v>
      </c>
    </row>
    <row r="4926" spans="1:10" x14ac:dyDescent="0.25">
      <c r="A4926" t="s">
        <v>1609</v>
      </c>
      <c r="B4926" t="s">
        <v>1610</v>
      </c>
      <c r="C4926" s="2">
        <v>2875820</v>
      </c>
      <c r="D4926" s="2">
        <v>80000</v>
      </c>
      <c r="E4926" s="2">
        <v>80000</v>
      </c>
      <c r="F4926" s="2">
        <v>80000</v>
      </c>
      <c r="G4926" s="2">
        <v>80000</v>
      </c>
      <c r="H4926">
        <v>0</v>
      </c>
    </row>
    <row r="4928" spans="1:10" x14ac:dyDescent="0.25">
      <c r="A4928" t="s">
        <v>1611</v>
      </c>
      <c r="B4928" t="s">
        <v>1612</v>
      </c>
      <c r="C4928" s="2">
        <v>-574010</v>
      </c>
      <c r="D4928" s="2">
        <v>1540946</v>
      </c>
      <c r="E4928" s="2">
        <v>1306359</v>
      </c>
      <c r="F4928" s="2">
        <v>947756</v>
      </c>
      <c r="G4928" s="2">
        <v>656051</v>
      </c>
      <c r="H4928">
        <v>0</v>
      </c>
    </row>
    <row r="4931" spans="1:10" x14ac:dyDescent="0.25">
      <c r="A4931" t="s">
        <v>1613</v>
      </c>
      <c r="B4931" t="s">
        <v>1614</v>
      </c>
    </row>
    <row r="4932" spans="1:10" x14ac:dyDescent="0.25">
      <c r="A4932" t="s">
        <v>110</v>
      </c>
    </row>
    <row r="4933" spans="1:10" x14ac:dyDescent="0.25">
      <c r="A4933" s="1">
        <v>43991</v>
      </c>
      <c r="B4933" t="s">
        <v>1615</v>
      </c>
      <c r="D4933" t="s">
        <v>112</v>
      </c>
      <c r="E4933" t="s">
        <v>113</v>
      </c>
      <c r="F4933" t="s">
        <v>114</v>
      </c>
      <c r="J4933" t="s">
        <v>1616</v>
      </c>
    </row>
    <row r="4934" spans="1:10" x14ac:dyDescent="0.25">
      <c r="D4934" t="s">
        <v>116</v>
      </c>
      <c r="E4934" t="s">
        <v>117</v>
      </c>
      <c r="F4934" t="s">
        <v>118</v>
      </c>
    </row>
    <row r="4935" spans="1:10" x14ac:dyDescent="0.25">
      <c r="D4935" t="s">
        <v>119</v>
      </c>
      <c r="E4935" t="s">
        <v>120</v>
      </c>
      <c r="F4935" t="s">
        <v>121</v>
      </c>
    </row>
    <row r="4936" spans="1:10" x14ac:dyDescent="0.25">
      <c r="A4936" t="s">
        <v>3251</v>
      </c>
      <c r="B4936" t="s">
        <v>3252</v>
      </c>
    </row>
    <row r="4937" spans="1:10" x14ac:dyDescent="0.25">
      <c r="A4937" t="s">
        <v>1</v>
      </c>
    </row>
    <row r="4938" spans="1:10" x14ac:dyDescent="0.25">
      <c r="F4938" t="s">
        <v>2</v>
      </c>
      <c r="G4938" t="s">
        <v>3</v>
      </c>
      <c r="H4938" t="s">
        <v>4</v>
      </c>
      <c r="I4938" t="s">
        <v>5</v>
      </c>
      <c r="J4938" t="s">
        <v>6</v>
      </c>
    </row>
    <row r="4939" spans="1:10" x14ac:dyDescent="0.25">
      <c r="C4939" t="s">
        <v>7</v>
      </c>
      <c r="D4939" t="s">
        <v>8</v>
      </c>
      <c r="E4939" t="s">
        <v>9</v>
      </c>
      <c r="F4939" t="s">
        <v>10</v>
      </c>
      <c r="G4939" t="s">
        <v>124</v>
      </c>
      <c r="H4939" t="s">
        <v>12</v>
      </c>
      <c r="I4939" t="s">
        <v>13</v>
      </c>
      <c r="J4939" t="s">
        <v>14</v>
      </c>
    </row>
    <row r="4940" spans="1:10" x14ac:dyDescent="0.25">
      <c r="C4940" t="s">
        <v>15</v>
      </c>
      <c r="D4940" t="s">
        <v>15</v>
      </c>
      <c r="E4940" t="s">
        <v>15</v>
      </c>
      <c r="F4940" t="s">
        <v>16</v>
      </c>
      <c r="G4940" t="s">
        <v>15</v>
      </c>
      <c r="H4940" t="s">
        <v>17</v>
      </c>
      <c r="I4940" t="s">
        <v>16</v>
      </c>
      <c r="J4940" t="s">
        <v>16</v>
      </c>
    </row>
    <row r="4941" spans="1:10" x14ac:dyDescent="0.25">
      <c r="A4941" t="s">
        <v>18</v>
      </c>
      <c r="B4941" t="s">
        <v>19</v>
      </c>
      <c r="C4941" t="s">
        <v>20</v>
      </c>
      <c r="D4941" t="s">
        <v>21</v>
      </c>
      <c r="E4941" t="s">
        <v>22</v>
      </c>
      <c r="F4941" t="s">
        <v>23</v>
      </c>
      <c r="G4941" t="s">
        <v>24</v>
      </c>
      <c r="H4941" t="s">
        <v>20</v>
      </c>
      <c r="I4941" t="s">
        <v>24</v>
      </c>
      <c r="J4941" t="s">
        <v>20</v>
      </c>
    </row>
    <row r="4943" spans="1:10" x14ac:dyDescent="0.25">
      <c r="A4943" t="s">
        <v>3253</v>
      </c>
      <c r="B4943" t="s">
        <v>3254</v>
      </c>
    </row>
    <row r="4944" spans="1:10" x14ac:dyDescent="0.25">
      <c r="A4944" t="s">
        <v>18</v>
      </c>
      <c r="B4944" t="s">
        <v>526</v>
      </c>
    </row>
    <row r="4945" spans="1:10" x14ac:dyDescent="0.25">
      <c r="A4945" t="s">
        <v>3255</v>
      </c>
      <c r="B4945" t="s">
        <v>62</v>
      </c>
      <c r="C4945" s="2">
        <v>5088</v>
      </c>
      <c r="D4945" s="2">
        <v>31925</v>
      </c>
      <c r="E4945" s="2">
        <v>38458</v>
      </c>
      <c r="F4945" s="2">
        <v>28802</v>
      </c>
      <c r="G4945" s="2">
        <v>19309</v>
      </c>
      <c r="H4945">
        <v>0</v>
      </c>
      <c r="I4945" t="s">
        <v>22</v>
      </c>
      <c r="J4945" t="s">
        <v>22</v>
      </c>
    </row>
    <row r="4946" spans="1:10" x14ac:dyDescent="0.25">
      <c r="A4946" t="s">
        <v>3221</v>
      </c>
      <c r="B4946" t="s">
        <v>3256</v>
      </c>
      <c r="C4946">
        <v>0</v>
      </c>
      <c r="D4946">
        <v>0</v>
      </c>
      <c r="E4946">
        <v>0</v>
      </c>
      <c r="F4946">
        <v>0</v>
      </c>
      <c r="G4946">
        <v>0</v>
      </c>
      <c r="H4946">
        <v>0</v>
      </c>
      <c r="I4946" t="s">
        <v>22</v>
      </c>
      <c r="J4946" t="s">
        <v>22</v>
      </c>
    </row>
    <row r="4947" spans="1:10" x14ac:dyDescent="0.25">
      <c r="A4947" t="s">
        <v>3257</v>
      </c>
      <c r="B4947" t="s">
        <v>1656</v>
      </c>
      <c r="C4947">
        <v>0</v>
      </c>
      <c r="D4947">
        <v>0</v>
      </c>
      <c r="E4947">
        <v>0</v>
      </c>
      <c r="F4947">
        <v>0</v>
      </c>
      <c r="G4947">
        <v>0</v>
      </c>
      <c r="H4947">
        <v>0</v>
      </c>
      <c r="I4947" t="s">
        <v>22</v>
      </c>
      <c r="J4947" t="s">
        <v>22</v>
      </c>
    </row>
    <row r="4948" spans="1:10" x14ac:dyDescent="0.25">
      <c r="A4948" t="s">
        <v>3258</v>
      </c>
      <c r="B4948" t="s">
        <v>3259</v>
      </c>
      <c r="C4948">
        <v>0</v>
      </c>
      <c r="D4948">
        <v>0</v>
      </c>
      <c r="E4948">
        <v>0</v>
      </c>
      <c r="F4948">
        <v>0</v>
      </c>
      <c r="G4948">
        <v>0</v>
      </c>
      <c r="H4948">
        <v>0</v>
      </c>
      <c r="I4948" t="s">
        <v>22</v>
      </c>
      <c r="J4948" t="s">
        <v>22</v>
      </c>
    </row>
    <row r="4949" spans="1:10" x14ac:dyDescent="0.25">
      <c r="C4949" t="s">
        <v>108</v>
      </c>
      <c r="D4949" t="s">
        <v>108</v>
      </c>
      <c r="E4949" t="s">
        <v>108</v>
      </c>
      <c r="F4949" t="s">
        <v>108</v>
      </c>
      <c r="G4949" t="s">
        <v>108</v>
      </c>
    </row>
    <row r="4950" spans="1:10" x14ac:dyDescent="0.25">
      <c r="H4950" t="s">
        <v>22</v>
      </c>
      <c r="I4950" t="s">
        <v>22</v>
      </c>
      <c r="J4950" t="s">
        <v>22</v>
      </c>
    </row>
    <row r="4951" spans="1:10" x14ac:dyDescent="0.25">
      <c r="A4951" t="s">
        <v>109</v>
      </c>
    </row>
    <row r="4952" spans="1:10" x14ac:dyDescent="0.25">
      <c r="B4952" t="s">
        <v>3260</v>
      </c>
      <c r="C4952" s="2">
        <v>5088</v>
      </c>
      <c r="D4952" s="2">
        <v>31925</v>
      </c>
      <c r="E4952" s="2">
        <v>38458</v>
      </c>
      <c r="F4952" s="2">
        <v>28802</v>
      </c>
      <c r="G4952" s="2">
        <v>19309</v>
      </c>
      <c r="H4952">
        <v>0</v>
      </c>
    </row>
    <row r="4953" spans="1:10" x14ac:dyDescent="0.25">
      <c r="A4953" t="s">
        <v>18</v>
      </c>
      <c r="B4953" t="s">
        <v>19</v>
      </c>
      <c r="C4953" t="s">
        <v>20</v>
      </c>
      <c r="D4953" t="s">
        <v>21</v>
      </c>
      <c r="E4953" t="s">
        <v>26</v>
      </c>
    </row>
    <row r="4954" spans="1:10" x14ac:dyDescent="0.25">
      <c r="E4954" t="s">
        <v>339</v>
      </c>
      <c r="F4954" t="s">
        <v>23</v>
      </c>
      <c r="G4954" t="s">
        <v>24</v>
      </c>
      <c r="H4954" t="s">
        <v>20</v>
      </c>
      <c r="I4954" t="s">
        <v>24</v>
      </c>
      <c r="J4954" t="s">
        <v>20</v>
      </c>
    </row>
    <row r="4956" spans="1:10" x14ac:dyDescent="0.25">
      <c r="A4956" t="s">
        <v>383</v>
      </c>
      <c r="B4956" t="s">
        <v>384</v>
      </c>
      <c r="C4956" s="2">
        <v>5088</v>
      </c>
      <c r="D4956" s="2">
        <v>31925</v>
      </c>
      <c r="E4956" s="2">
        <v>38458</v>
      </c>
      <c r="F4956" s="2">
        <v>28802</v>
      </c>
      <c r="G4956" s="2">
        <v>19309</v>
      </c>
      <c r="H4956">
        <v>0</v>
      </c>
    </row>
    <row r="4957" spans="1:10" x14ac:dyDescent="0.25">
      <c r="A4957" t="s">
        <v>110</v>
      </c>
    </row>
    <row r="4958" spans="1:10" x14ac:dyDescent="0.25">
      <c r="A4958" s="1">
        <v>43991</v>
      </c>
      <c r="B4958" t="s">
        <v>1615</v>
      </c>
      <c r="D4958" t="s">
        <v>112</v>
      </c>
      <c r="E4958" t="s">
        <v>113</v>
      </c>
      <c r="F4958" t="s">
        <v>114</v>
      </c>
      <c r="J4958" t="s">
        <v>115</v>
      </c>
    </row>
    <row r="4959" spans="1:10" x14ac:dyDescent="0.25">
      <c r="D4959" t="s">
        <v>116</v>
      </c>
      <c r="E4959" t="s">
        <v>117</v>
      </c>
      <c r="F4959" t="s">
        <v>118</v>
      </c>
    </row>
    <row r="4960" spans="1:10" x14ac:dyDescent="0.25">
      <c r="D4960" t="s">
        <v>119</v>
      </c>
      <c r="E4960" t="s">
        <v>120</v>
      </c>
      <c r="F4960" t="s">
        <v>121</v>
      </c>
    </row>
    <row r="4961" spans="1:10" x14ac:dyDescent="0.25">
      <c r="A4961" t="s">
        <v>3251</v>
      </c>
      <c r="B4961" t="s">
        <v>3252</v>
      </c>
    </row>
    <row r="4962" spans="1:10" x14ac:dyDescent="0.25">
      <c r="A4962" t="s">
        <v>386</v>
      </c>
    </row>
    <row r="4963" spans="1:10" x14ac:dyDescent="0.25">
      <c r="F4963" t="s">
        <v>2</v>
      </c>
      <c r="G4963" t="s">
        <v>3</v>
      </c>
      <c r="H4963" t="s">
        <v>4</v>
      </c>
      <c r="I4963" t="s">
        <v>5</v>
      </c>
      <c r="J4963" t="s">
        <v>6</v>
      </c>
    </row>
    <row r="4964" spans="1:10" x14ac:dyDescent="0.25">
      <c r="C4964" t="s">
        <v>7</v>
      </c>
      <c r="D4964" t="s">
        <v>8</v>
      </c>
      <c r="E4964" t="s">
        <v>9</v>
      </c>
      <c r="F4964" t="s">
        <v>10</v>
      </c>
      <c r="G4964" t="s">
        <v>124</v>
      </c>
      <c r="H4964" t="s">
        <v>12</v>
      </c>
      <c r="I4964" t="s">
        <v>13</v>
      </c>
      <c r="J4964" t="s">
        <v>14</v>
      </c>
    </row>
    <row r="4965" spans="1:10" x14ac:dyDescent="0.25">
      <c r="C4965" t="s">
        <v>15</v>
      </c>
      <c r="D4965" t="s">
        <v>15</v>
      </c>
      <c r="E4965" t="s">
        <v>15</v>
      </c>
      <c r="F4965" t="s">
        <v>16</v>
      </c>
      <c r="G4965" t="s">
        <v>15</v>
      </c>
      <c r="H4965" t="s">
        <v>17</v>
      </c>
      <c r="I4965" t="s">
        <v>16</v>
      </c>
      <c r="J4965" t="s">
        <v>16</v>
      </c>
    </row>
    <row r="4966" spans="1:10" x14ac:dyDescent="0.25">
      <c r="A4966" t="s">
        <v>18</v>
      </c>
      <c r="B4966" t="s">
        <v>19</v>
      </c>
      <c r="C4966" t="s">
        <v>20</v>
      </c>
      <c r="D4966" t="s">
        <v>21</v>
      </c>
      <c r="E4966" t="s">
        <v>22</v>
      </c>
      <c r="F4966" t="s">
        <v>23</v>
      </c>
      <c r="G4966" t="s">
        <v>24</v>
      </c>
      <c r="H4966" t="s">
        <v>20</v>
      </c>
      <c r="I4966" t="s">
        <v>24</v>
      </c>
      <c r="J4966" t="s">
        <v>20</v>
      </c>
    </row>
    <row r="4969" spans="1:10" x14ac:dyDescent="0.25">
      <c r="A4969" t="s">
        <v>3253</v>
      </c>
      <c r="B4969" t="s">
        <v>3254</v>
      </c>
    </row>
    <row r="4970" spans="1:10" x14ac:dyDescent="0.25">
      <c r="A4970" t="s">
        <v>389</v>
      </c>
      <c r="B4970" t="s">
        <v>1899</v>
      </c>
    </row>
    <row r="4972" spans="1:10" x14ac:dyDescent="0.25">
      <c r="A4972" t="s">
        <v>442</v>
      </c>
      <c r="B4972" t="s">
        <v>443</v>
      </c>
    </row>
    <row r="4973" spans="1:10" x14ac:dyDescent="0.25">
      <c r="A4973" t="s">
        <v>18</v>
      </c>
      <c r="B4973" t="s">
        <v>21</v>
      </c>
    </row>
    <row r="4974" spans="1:10" x14ac:dyDescent="0.25">
      <c r="A4974" t="s">
        <v>2187</v>
      </c>
      <c r="B4974" t="s">
        <v>475</v>
      </c>
      <c r="C4974">
        <v>0</v>
      </c>
      <c r="D4974" s="2">
        <v>3150</v>
      </c>
      <c r="E4974" s="2">
        <v>1235</v>
      </c>
      <c r="F4974">
        <v>0</v>
      </c>
      <c r="G4974">
        <v>0</v>
      </c>
      <c r="H4974">
        <v>0</v>
      </c>
      <c r="I4974" t="s">
        <v>22</v>
      </c>
      <c r="J4974" t="s">
        <v>22</v>
      </c>
    </row>
    <row r="4975" spans="1:10" x14ac:dyDescent="0.25">
      <c r="C4975" t="s">
        <v>108</v>
      </c>
      <c r="D4975" t="s">
        <v>108</v>
      </c>
      <c r="E4975" t="s">
        <v>108</v>
      </c>
      <c r="F4975" t="s">
        <v>108</v>
      </c>
      <c r="G4975" t="s">
        <v>108</v>
      </c>
    </row>
    <row r="4976" spans="1:10" x14ac:dyDescent="0.25">
      <c r="H4976" t="s">
        <v>22</v>
      </c>
      <c r="I4976" t="s">
        <v>22</v>
      </c>
      <c r="J4976" t="s">
        <v>22</v>
      </c>
    </row>
    <row r="4977" spans="1:10" x14ac:dyDescent="0.25">
      <c r="A4977" t="s">
        <v>109</v>
      </c>
    </row>
    <row r="4978" spans="1:10" x14ac:dyDescent="0.25">
      <c r="B4978" t="s">
        <v>478</v>
      </c>
      <c r="C4978">
        <v>0</v>
      </c>
      <c r="D4978" s="2">
        <v>3150</v>
      </c>
      <c r="E4978" s="2">
        <v>1235</v>
      </c>
      <c r="F4978">
        <v>0</v>
      </c>
      <c r="G4978">
        <v>0</v>
      </c>
      <c r="H4978">
        <v>0</v>
      </c>
    </row>
    <row r="4980" spans="1:10" x14ac:dyDescent="0.25">
      <c r="A4980" t="s">
        <v>501</v>
      </c>
    </row>
    <row r="4981" spans="1:10" x14ac:dyDescent="0.25">
      <c r="A4981" t="s">
        <v>18</v>
      </c>
    </row>
    <row r="4982" spans="1:10" x14ac:dyDescent="0.25">
      <c r="A4982" t="s">
        <v>2208</v>
      </c>
      <c r="B4982" t="s">
        <v>519</v>
      </c>
      <c r="C4982">
        <v>0</v>
      </c>
      <c r="D4982">
        <v>0</v>
      </c>
      <c r="E4982">
        <v>0</v>
      </c>
      <c r="F4982">
        <v>0</v>
      </c>
      <c r="G4982">
        <v>0</v>
      </c>
      <c r="H4982">
        <v>0</v>
      </c>
      <c r="I4982" t="s">
        <v>22</v>
      </c>
      <c r="J4982" t="s">
        <v>22</v>
      </c>
    </row>
    <row r="4983" spans="1:10" x14ac:dyDescent="0.25">
      <c r="C4983" t="s">
        <v>108</v>
      </c>
      <c r="D4983" t="s">
        <v>108</v>
      </c>
      <c r="E4983" t="s">
        <v>108</v>
      </c>
      <c r="F4983" t="s">
        <v>108</v>
      </c>
      <c r="G4983" t="s">
        <v>108</v>
      </c>
    </row>
    <row r="4984" spans="1:10" x14ac:dyDescent="0.25">
      <c r="H4984" t="s">
        <v>22</v>
      </c>
      <c r="I4984" t="s">
        <v>22</v>
      </c>
      <c r="J4984" t="s">
        <v>22</v>
      </c>
    </row>
    <row r="4985" spans="1:10" x14ac:dyDescent="0.25">
      <c r="A4985" t="s">
        <v>109</v>
      </c>
    </row>
    <row r="4986" spans="1:10" x14ac:dyDescent="0.25">
      <c r="B4986" t="s">
        <v>501</v>
      </c>
      <c r="C4986">
        <v>0</v>
      </c>
      <c r="D4986">
        <v>0</v>
      </c>
      <c r="E4986">
        <v>0</v>
      </c>
      <c r="F4986">
        <v>0</v>
      </c>
      <c r="G4986">
        <v>0</v>
      </c>
      <c r="H4986">
        <v>0</v>
      </c>
    </row>
    <row r="4988" spans="1:10" x14ac:dyDescent="0.25">
      <c r="A4988" t="s">
        <v>524</v>
      </c>
      <c r="B4988" t="s">
        <v>525</v>
      </c>
    </row>
    <row r="4989" spans="1:10" x14ac:dyDescent="0.25">
      <c r="A4989" t="s">
        <v>18</v>
      </c>
      <c r="B4989" t="s">
        <v>526</v>
      </c>
    </row>
    <row r="4990" spans="1:10" x14ac:dyDescent="0.25">
      <c r="A4990" t="s">
        <v>3261</v>
      </c>
      <c r="B4990" t="s">
        <v>3262</v>
      </c>
      <c r="C4990">
        <v>0</v>
      </c>
      <c r="D4990">
        <v>0</v>
      </c>
      <c r="E4990">
        <v>0</v>
      </c>
      <c r="F4990">
        <v>0</v>
      </c>
      <c r="G4990">
        <v>0</v>
      </c>
      <c r="H4990">
        <v>0</v>
      </c>
      <c r="I4990" t="s">
        <v>22</v>
      </c>
      <c r="J4990" t="s">
        <v>22</v>
      </c>
    </row>
    <row r="4991" spans="1:10" x14ac:dyDescent="0.25">
      <c r="A4991" t="s">
        <v>3263</v>
      </c>
      <c r="B4991" t="s">
        <v>3264</v>
      </c>
      <c r="C4991">
        <v>0</v>
      </c>
      <c r="D4991">
        <v>0</v>
      </c>
      <c r="E4991">
        <v>0</v>
      </c>
      <c r="F4991">
        <v>0</v>
      </c>
      <c r="G4991">
        <v>0</v>
      </c>
      <c r="H4991">
        <v>0</v>
      </c>
      <c r="I4991" t="s">
        <v>22</v>
      </c>
      <c r="J4991" t="s">
        <v>22</v>
      </c>
    </row>
    <row r="4992" spans="1:10" x14ac:dyDescent="0.25">
      <c r="C4992" t="s">
        <v>108</v>
      </c>
      <c r="D4992" t="s">
        <v>108</v>
      </c>
      <c r="E4992" t="s">
        <v>108</v>
      </c>
      <c r="F4992" t="s">
        <v>108</v>
      </c>
      <c r="G4992" t="s">
        <v>108</v>
      </c>
    </row>
    <row r="4993" spans="1:10" x14ac:dyDescent="0.25">
      <c r="H4993" t="s">
        <v>22</v>
      </c>
      <c r="I4993" t="s">
        <v>22</v>
      </c>
      <c r="J4993" t="s">
        <v>22</v>
      </c>
    </row>
    <row r="4994" spans="1:10" x14ac:dyDescent="0.25">
      <c r="A4994" t="s">
        <v>109</v>
      </c>
    </row>
    <row r="4995" spans="1:10" x14ac:dyDescent="0.25">
      <c r="B4995" t="s">
        <v>530</v>
      </c>
      <c r="C4995">
        <v>0</v>
      </c>
      <c r="D4995">
        <v>0</v>
      </c>
      <c r="E4995">
        <v>0</v>
      </c>
      <c r="F4995">
        <v>0</v>
      </c>
      <c r="G4995">
        <v>0</v>
      </c>
      <c r="H4995">
        <v>0</v>
      </c>
    </row>
    <row r="4996" spans="1:10" x14ac:dyDescent="0.25">
      <c r="A4996" t="s">
        <v>18</v>
      </c>
      <c r="B4996" t="s">
        <v>19</v>
      </c>
      <c r="C4996" t="s">
        <v>20</v>
      </c>
      <c r="D4996" t="s">
        <v>21</v>
      </c>
      <c r="E4996" t="s">
        <v>26</v>
      </c>
    </row>
    <row r="4997" spans="1:10" x14ac:dyDescent="0.25">
      <c r="E4997" t="s">
        <v>339</v>
      </c>
      <c r="F4997" t="s">
        <v>23</v>
      </c>
      <c r="G4997" t="s">
        <v>24</v>
      </c>
      <c r="H4997" t="s">
        <v>20</v>
      </c>
      <c r="I4997" t="s">
        <v>24</v>
      </c>
      <c r="J4997" t="s">
        <v>20</v>
      </c>
    </row>
    <row r="4998" spans="1:10" x14ac:dyDescent="0.25">
      <c r="A4998" t="s">
        <v>109</v>
      </c>
    </row>
    <row r="4999" spans="1:10" x14ac:dyDescent="0.25">
      <c r="A4999">
        <v>43</v>
      </c>
      <c r="B4999" t="s">
        <v>179</v>
      </c>
      <c r="C4999">
        <v>0</v>
      </c>
      <c r="D4999" s="2">
        <v>3150</v>
      </c>
      <c r="E4999" s="2">
        <v>1235</v>
      </c>
      <c r="F4999">
        <v>0</v>
      </c>
      <c r="G4999">
        <v>0</v>
      </c>
      <c r="H4999">
        <v>0</v>
      </c>
    </row>
    <row r="5000" spans="1:10" x14ac:dyDescent="0.25">
      <c r="A5000" t="s">
        <v>18</v>
      </c>
      <c r="B5000" t="s">
        <v>19</v>
      </c>
      <c r="C5000" t="s">
        <v>20</v>
      </c>
      <c r="D5000" t="s">
        <v>21</v>
      </c>
      <c r="E5000" t="s">
        <v>26</v>
      </c>
    </row>
    <row r="5001" spans="1:10" x14ac:dyDescent="0.25">
      <c r="E5001" t="s">
        <v>339</v>
      </c>
      <c r="F5001" t="s">
        <v>23</v>
      </c>
      <c r="G5001" t="s">
        <v>24</v>
      </c>
      <c r="H5001" t="s">
        <v>20</v>
      </c>
      <c r="I5001" t="s">
        <v>24</v>
      </c>
      <c r="J5001" t="s">
        <v>20</v>
      </c>
    </row>
    <row r="5003" spans="1:10" x14ac:dyDescent="0.25">
      <c r="A5003" t="s">
        <v>1609</v>
      </c>
      <c r="B5003" t="s">
        <v>1610</v>
      </c>
      <c r="C5003">
        <v>0</v>
      </c>
      <c r="D5003" s="2">
        <v>3150</v>
      </c>
      <c r="E5003" s="2">
        <v>1235</v>
      </c>
      <c r="F5003">
        <v>0</v>
      </c>
      <c r="G5003">
        <v>0</v>
      </c>
      <c r="H5003">
        <v>0</v>
      </c>
    </row>
    <row r="5005" spans="1:10" x14ac:dyDescent="0.25">
      <c r="A5005" t="s">
        <v>1611</v>
      </c>
      <c r="B5005" t="s">
        <v>1612</v>
      </c>
      <c r="C5005" s="2">
        <v>5088</v>
      </c>
      <c r="D5005" s="2">
        <v>28775</v>
      </c>
      <c r="E5005" s="2">
        <v>37223</v>
      </c>
      <c r="F5005" s="2">
        <v>28802</v>
      </c>
      <c r="G5005" s="2">
        <v>19309</v>
      </c>
      <c r="H5005">
        <v>0</v>
      </c>
    </row>
    <row r="5008" spans="1:10" x14ac:dyDescent="0.25">
      <c r="A5008" t="s">
        <v>1613</v>
      </c>
      <c r="B5008" t="s">
        <v>1614</v>
      </c>
    </row>
    <row r="5009" spans="1:10" x14ac:dyDescent="0.25">
      <c r="A5009" t="s">
        <v>110</v>
      </c>
    </row>
    <row r="5010" spans="1:10" x14ac:dyDescent="0.25">
      <c r="A5010" s="1">
        <v>43991</v>
      </c>
      <c r="B5010" t="s">
        <v>1615</v>
      </c>
      <c r="D5010" t="s">
        <v>112</v>
      </c>
      <c r="E5010" t="s">
        <v>113</v>
      </c>
      <c r="F5010" t="s">
        <v>114</v>
      </c>
      <c r="J5010" t="s">
        <v>1616</v>
      </c>
    </row>
    <row r="5011" spans="1:10" x14ac:dyDescent="0.25">
      <c r="D5011" t="s">
        <v>116</v>
      </c>
      <c r="E5011" t="s">
        <v>117</v>
      </c>
      <c r="F5011" t="s">
        <v>118</v>
      </c>
    </row>
    <row r="5012" spans="1:10" x14ac:dyDescent="0.25">
      <c r="D5012" t="s">
        <v>119</v>
      </c>
      <c r="E5012" t="s">
        <v>120</v>
      </c>
      <c r="F5012" t="s">
        <v>121</v>
      </c>
    </row>
    <row r="5013" spans="1:10" x14ac:dyDescent="0.25">
      <c r="A5013" t="s">
        <v>3265</v>
      </c>
      <c r="B5013" t="s">
        <v>1589</v>
      </c>
    </row>
    <row r="5014" spans="1:10" x14ac:dyDescent="0.25">
      <c r="A5014" t="s">
        <v>1</v>
      </c>
    </row>
    <row r="5015" spans="1:10" x14ac:dyDescent="0.25">
      <c r="F5015" t="s">
        <v>2</v>
      </c>
      <c r="G5015" t="s">
        <v>3</v>
      </c>
      <c r="H5015" t="s">
        <v>4</v>
      </c>
      <c r="I5015" t="s">
        <v>5</v>
      </c>
      <c r="J5015" t="s">
        <v>6</v>
      </c>
    </row>
    <row r="5016" spans="1:10" x14ac:dyDescent="0.25">
      <c r="C5016" t="s">
        <v>7</v>
      </c>
      <c r="D5016" t="s">
        <v>8</v>
      </c>
      <c r="E5016" t="s">
        <v>9</v>
      </c>
      <c r="F5016" t="s">
        <v>10</v>
      </c>
      <c r="G5016" t="s">
        <v>124</v>
      </c>
      <c r="H5016" t="s">
        <v>12</v>
      </c>
      <c r="I5016" t="s">
        <v>13</v>
      </c>
      <c r="J5016" t="s">
        <v>14</v>
      </c>
    </row>
    <row r="5017" spans="1:10" x14ac:dyDescent="0.25">
      <c r="C5017" t="s">
        <v>15</v>
      </c>
      <c r="D5017" t="s">
        <v>15</v>
      </c>
      <c r="E5017" t="s">
        <v>15</v>
      </c>
      <c r="F5017" t="s">
        <v>16</v>
      </c>
      <c r="G5017" t="s">
        <v>15</v>
      </c>
      <c r="H5017" t="s">
        <v>17</v>
      </c>
      <c r="I5017" t="s">
        <v>16</v>
      </c>
      <c r="J5017" t="s">
        <v>16</v>
      </c>
    </row>
    <row r="5018" spans="1:10" x14ac:dyDescent="0.25">
      <c r="A5018" t="s">
        <v>18</v>
      </c>
      <c r="B5018" t="s">
        <v>19</v>
      </c>
      <c r="C5018" t="s">
        <v>20</v>
      </c>
      <c r="D5018" t="s">
        <v>21</v>
      </c>
      <c r="E5018" t="s">
        <v>22</v>
      </c>
      <c r="F5018" t="s">
        <v>23</v>
      </c>
      <c r="G5018" t="s">
        <v>24</v>
      </c>
      <c r="H5018" t="s">
        <v>20</v>
      </c>
      <c r="I5018" t="s">
        <v>24</v>
      </c>
      <c r="J5018" t="s">
        <v>20</v>
      </c>
    </row>
    <row r="5020" spans="1:10" x14ac:dyDescent="0.25">
      <c r="A5020" t="s">
        <v>3266</v>
      </c>
      <c r="B5020" t="s">
        <v>3267</v>
      </c>
    </row>
    <row r="5021" spans="1:10" x14ac:dyDescent="0.25">
      <c r="A5021" t="s">
        <v>18</v>
      </c>
      <c r="B5021" t="s">
        <v>23</v>
      </c>
    </row>
    <row r="5022" spans="1:10" x14ac:dyDescent="0.25">
      <c r="A5022" t="s">
        <v>2614</v>
      </c>
      <c r="B5022" t="s">
        <v>2615</v>
      </c>
      <c r="C5022">
        <v>0</v>
      </c>
      <c r="D5022">
        <v>0</v>
      </c>
      <c r="E5022">
        <v>0</v>
      </c>
      <c r="F5022">
        <v>0</v>
      </c>
      <c r="G5022">
        <v>0</v>
      </c>
      <c r="H5022">
        <v>0</v>
      </c>
      <c r="I5022" t="s">
        <v>22</v>
      </c>
      <c r="J5022" t="s">
        <v>22</v>
      </c>
    </row>
    <row r="5023" spans="1:10" x14ac:dyDescent="0.25">
      <c r="A5023" t="s">
        <v>2616</v>
      </c>
      <c r="B5023" t="s">
        <v>3268</v>
      </c>
      <c r="C5023">
        <v>0</v>
      </c>
      <c r="D5023">
        <v>0</v>
      </c>
      <c r="E5023">
        <v>0</v>
      </c>
      <c r="F5023">
        <v>0</v>
      </c>
      <c r="G5023">
        <v>0</v>
      </c>
      <c r="H5023">
        <v>0</v>
      </c>
      <c r="I5023" t="s">
        <v>22</v>
      </c>
      <c r="J5023" t="s">
        <v>22</v>
      </c>
    </row>
    <row r="5024" spans="1:10" x14ac:dyDescent="0.25">
      <c r="A5024" t="s">
        <v>2618</v>
      </c>
      <c r="B5024" t="s">
        <v>3269</v>
      </c>
      <c r="C5024">
        <v>0</v>
      </c>
      <c r="D5024">
        <v>0</v>
      </c>
      <c r="E5024">
        <v>0</v>
      </c>
      <c r="F5024">
        <v>0</v>
      </c>
      <c r="G5024">
        <v>0</v>
      </c>
      <c r="H5024">
        <v>0</v>
      </c>
      <c r="I5024" t="s">
        <v>22</v>
      </c>
      <c r="J5024" t="s">
        <v>22</v>
      </c>
    </row>
    <row r="5025" spans="1:10" x14ac:dyDescent="0.25">
      <c r="A5025" t="s">
        <v>2620</v>
      </c>
      <c r="B5025" t="s">
        <v>3270</v>
      </c>
      <c r="C5025">
        <v>0</v>
      </c>
      <c r="D5025">
        <v>0</v>
      </c>
      <c r="E5025">
        <v>0</v>
      </c>
      <c r="F5025">
        <v>0</v>
      </c>
      <c r="G5025">
        <v>0</v>
      </c>
      <c r="H5025">
        <v>0</v>
      </c>
      <c r="I5025" t="s">
        <v>22</v>
      </c>
      <c r="J5025" t="s">
        <v>22</v>
      </c>
    </row>
    <row r="5026" spans="1:10" x14ac:dyDescent="0.25">
      <c r="A5026" t="s">
        <v>2622</v>
      </c>
      <c r="B5026" t="s">
        <v>3271</v>
      </c>
      <c r="C5026">
        <v>0</v>
      </c>
      <c r="D5026">
        <v>0</v>
      </c>
      <c r="E5026">
        <v>0</v>
      </c>
      <c r="F5026">
        <v>0</v>
      </c>
      <c r="G5026">
        <v>0</v>
      </c>
      <c r="H5026">
        <v>0</v>
      </c>
      <c r="I5026" t="s">
        <v>22</v>
      </c>
      <c r="J5026" t="s">
        <v>22</v>
      </c>
    </row>
    <row r="5027" spans="1:10" x14ac:dyDescent="0.25">
      <c r="A5027" t="s">
        <v>2626</v>
      </c>
      <c r="B5027" t="s">
        <v>3272</v>
      </c>
      <c r="C5027">
        <v>0</v>
      </c>
      <c r="D5027">
        <v>0</v>
      </c>
      <c r="E5027">
        <v>0</v>
      </c>
      <c r="F5027">
        <v>0</v>
      </c>
      <c r="G5027">
        <v>0</v>
      </c>
      <c r="H5027">
        <v>0</v>
      </c>
      <c r="I5027" t="s">
        <v>22</v>
      </c>
      <c r="J5027" t="s">
        <v>22</v>
      </c>
    </row>
    <row r="5028" spans="1:10" x14ac:dyDescent="0.25">
      <c r="A5028" t="s">
        <v>2716</v>
      </c>
      <c r="B5028" t="s">
        <v>3273</v>
      </c>
      <c r="C5028" s="2">
        <v>5903</v>
      </c>
      <c r="D5028" s="2">
        <v>43585</v>
      </c>
      <c r="E5028" s="2">
        <v>54192</v>
      </c>
      <c r="F5028" s="2">
        <v>42377</v>
      </c>
      <c r="G5028" s="2">
        <v>22308</v>
      </c>
      <c r="H5028">
        <v>0</v>
      </c>
      <c r="I5028" t="s">
        <v>22</v>
      </c>
      <c r="J5028" t="s">
        <v>22</v>
      </c>
    </row>
    <row r="5029" spans="1:10" x14ac:dyDescent="0.25">
      <c r="A5029" t="s">
        <v>3274</v>
      </c>
      <c r="B5029" t="s">
        <v>3275</v>
      </c>
      <c r="C5029">
        <v>0</v>
      </c>
      <c r="D5029">
        <v>0</v>
      </c>
      <c r="E5029">
        <v>0</v>
      </c>
      <c r="F5029">
        <v>0</v>
      </c>
      <c r="G5029">
        <v>0</v>
      </c>
      <c r="H5029">
        <v>0</v>
      </c>
      <c r="I5029" t="s">
        <v>22</v>
      </c>
      <c r="J5029" t="s">
        <v>22</v>
      </c>
    </row>
    <row r="5030" spans="1:10" x14ac:dyDescent="0.25">
      <c r="A5030" t="s">
        <v>2750</v>
      </c>
      <c r="B5030" t="s">
        <v>3276</v>
      </c>
      <c r="C5030">
        <v>0</v>
      </c>
      <c r="D5030">
        <v>0</v>
      </c>
      <c r="E5030" s="2">
        <v>13892</v>
      </c>
      <c r="F5030">
        <v>0</v>
      </c>
      <c r="G5030">
        <v>0</v>
      </c>
      <c r="H5030">
        <v>0</v>
      </c>
      <c r="I5030" t="s">
        <v>22</v>
      </c>
      <c r="J5030" t="s">
        <v>22</v>
      </c>
    </row>
    <row r="5031" spans="1:10" x14ac:dyDescent="0.25">
      <c r="A5031" t="s">
        <v>3277</v>
      </c>
      <c r="B5031" t="s">
        <v>3278</v>
      </c>
      <c r="C5031">
        <v>0</v>
      </c>
      <c r="D5031">
        <v>0</v>
      </c>
      <c r="E5031">
        <v>0</v>
      </c>
      <c r="F5031">
        <v>0</v>
      </c>
      <c r="G5031">
        <v>0</v>
      </c>
      <c r="H5031">
        <v>0</v>
      </c>
      <c r="I5031" t="s">
        <v>22</v>
      </c>
      <c r="J5031" t="s">
        <v>22</v>
      </c>
    </row>
    <row r="5032" spans="1:10" x14ac:dyDescent="0.25">
      <c r="A5032" t="s">
        <v>3279</v>
      </c>
      <c r="B5032" t="s">
        <v>1744</v>
      </c>
      <c r="C5032">
        <v>0</v>
      </c>
      <c r="D5032">
        <v>0</v>
      </c>
      <c r="E5032">
        <v>0</v>
      </c>
      <c r="F5032">
        <v>0</v>
      </c>
      <c r="G5032">
        <v>0</v>
      </c>
      <c r="H5032">
        <v>0</v>
      </c>
      <c r="I5032" t="s">
        <v>22</v>
      </c>
      <c r="J5032" t="s">
        <v>22</v>
      </c>
    </row>
    <row r="5033" spans="1:10" x14ac:dyDescent="0.25">
      <c r="A5033" t="s">
        <v>3280</v>
      </c>
      <c r="B5033" t="s">
        <v>3281</v>
      </c>
      <c r="C5033">
        <v>0</v>
      </c>
      <c r="D5033">
        <v>0</v>
      </c>
      <c r="E5033">
        <v>0</v>
      </c>
      <c r="F5033">
        <v>0</v>
      </c>
      <c r="G5033">
        <v>0</v>
      </c>
      <c r="H5033">
        <v>0</v>
      </c>
      <c r="I5033" t="s">
        <v>22</v>
      </c>
      <c r="J5033" t="s">
        <v>22</v>
      </c>
    </row>
    <row r="5034" spans="1:10" x14ac:dyDescent="0.25">
      <c r="A5034" t="s">
        <v>3282</v>
      </c>
      <c r="B5034" t="s">
        <v>3283</v>
      </c>
      <c r="C5034">
        <v>0</v>
      </c>
      <c r="D5034">
        <v>0</v>
      </c>
      <c r="E5034">
        <v>0</v>
      </c>
      <c r="F5034">
        <v>0</v>
      </c>
      <c r="G5034">
        <v>0</v>
      </c>
      <c r="H5034">
        <v>0</v>
      </c>
      <c r="I5034" t="s">
        <v>22</v>
      </c>
      <c r="J5034" t="s">
        <v>22</v>
      </c>
    </row>
    <row r="5035" spans="1:10" x14ac:dyDescent="0.25">
      <c r="A5035" t="s">
        <v>3284</v>
      </c>
      <c r="B5035" t="s">
        <v>3285</v>
      </c>
      <c r="C5035">
        <v>0</v>
      </c>
      <c r="D5035">
        <v>0</v>
      </c>
      <c r="E5035">
        <v>0</v>
      </c>
      <c r="F5035">
        <v>0</v>
      </c>
      <c r="G5035">
        <v>0</v>
      </c>
      <c r="H5035">
        <v>0</v>
      </c>
      <c r="I5035" t="s">
        <v>22</v>
      </c>
      <c r="J5035" t="s">
        <v>22</v>
      </c>
    </row>
    <row r="5036" spans="1:10" x14ac:dyDescent="0.25">
      <c r="C5036" t="s">
        <v>108</v>
      </c>
      <c r="D5036" t="s">
        <v>108</v>
      </c>
      <c r="E5036" t="s">
        <v>108</v>
      </c>
      <c r="F5036" t="s">
        <v>108</v>
      </c>
      <c r="G5036" t="s">
        <v>108</v>
      </c>
    </row>
    <row r="5037" spans="1:10" x14ac:dyDescent="0.25">
      <c r="H5037" t="s">
        <v>22</v>
      </c>
      <c r="I5037" t="s">
        <v>22</v>
      </c>
      <c r="J5037" t="s">
        <v>22</v>
      </c>
    </row>
    <row r="5038" spans="1:10" x14ac:dyDescent="0.25">
      <c r="A5038" t="s">
        <v>109</v>
      </c>
    </row>
    <row r="5039" spans="1:10" x14ac:dyDescent="0.25">
      <c r="B5039" t="s">
        <v>3286</v>
      </c>
      <c r="C5039" s="2">
        <v>5903</v>
      </c>
      <c r="D5039" s="2">
        <v>43585</v>
      </c>
      <c r="E5039" s="2">
        <v>68084</v>
      </c>
      <c r="F5039" s="2">
        <v>42377</v>
      </c>
      <c r="G5039" s="2">
        <v>22308</v>
      </c>
      <c r="H5039">
        <v>0</v>
      </c>
    </row>
    <row r="5041" spans="1:10" x14ac:dyDescent="0.25">
      <c r="A5041" t="s">
        <v>3287</v>
      </c>
      <c r="B5041" t="s">
        <v>3288</v>
      </c>
    </row>
    <row r="5042" spans="1:10" x14ac:dyDescent="0.25">
      <c r="A5042" t="s">
        <v>18</v>
      </c>
      <c r="B5042" t="s">
        <v>24</v>
      </c>
    </row>
    <row r="5043" spans="1:10" x14ac:dyDescent="0.25">
      <c r="A5043" t="s">
        <v>3289</v>
      </c>
      <c r="B5043" t="s">
        <v>3290</v>
      </c>
      <c r="C5043" s="2">
        <v>2675754</v>
      </c>
      <c r="D5043" s="2">
        <v>2746110</v>
      </c>
      <c r="E5043" s="2">
        <v>2727742</v>
      </c>
      <c r="F5043" s="2">
        <v>4493771</v>
      </c>
      <c r="G5043" s="2">
        <v>4451259</v>
      </c>
      <c r="H5043">
        <v>0</v>
      </c>
      <c r="I5043" t="s">
        <v>22</v>
      </c>
      <c r="J5043" t="s">
        <v>22</v>
      </c>
    </row>
    <row r="5044" spans="1:10" x14ac:dyDescent="0.25">
      <c r="A5044" t="s">
        <v>3291</v>
      </c>
      <c r="B5044" t="s">
        <v>30</v>
      </c>
      <c r="C5044" s="2">
        <v>20178</v>
      </c>
      <c r="D5044" s="2">
        <v>18563</v>
      </c>
      <c r="E5044">
        <v>0</v>
      </c>
      <c r="F5044">
        <v>0</v>
      </c>
      <c r="G5044">
        <v>0</v>
      </c>
      <c r="H5044">
        <v>0</v>
      </c>
      <c r="I5044" t="s">
        <v>22</v>
      </c>
      <c r="J5044" t="s">
        <v>22</v>
      </c>
    </row>
    <row r="5045" spans="1:10" x14ac:dyDescent="0.25">
      <c r="A5045" t="s">
        <v>3292</v>
      </c>
      <c r="B5045" t="s">
        <v>3293</v>
      </c>
      <c r="C5045">
        <v>0</v>
      </c>
      <c r="D5045">
        <v>0</v>
      </c>
      <c r="E5045">
        <v>0</v>
      </c>
      <c r="F5045">
        <v>0</v>
      </c>
      <c r="G5045">
        <v>0</v>
      </c>
      <c r="H5045">
        <v>0</v>
      </c>
      <c r="I5045" t="s">
        <v>22</v>
      </c>
      <c r="J5045" t="s">
        <v>22</v>
      </c>
    </row>
    <row r="5046" spans="1:10" x14ac:dyDescent="0.25">
      <c r="A5046" t="s">
        <v>3294</v>
      </c>
      <c r="B5046" t="s">
        <v>62</v>
      </c>
      <c r="C5046">
        <v>0</v>
      </c>
      <c r="D5046">
        <v>0</v>
      </c>
      <c r="E5046">
        <v>0</v>
      </c>
      <c r="F5046">
        <v>0</v>
      </c>
      <c r="G5046">
        <v>0</v>
      </c>
      <c r="H5046">
        <v>0</v>
      </c>
      <c r="I5046" t="s">
        <v>22</v>
      </c>
      <c r="J5046" t="s">
        <v>22</v>
      </c>
    </row>
    <row r="5047" spans="1:10" x14ac:dyDescent="0.25">
      <c r="A5047" t="s">
        <v>3295</v>
      </c>
      <c r="B5047" t="s">
        <v>3296</v>
      </c>
      <c r="C5047">
        <v>0</v>
      </c>
      <c r="D5047">
        <v>0</v>
      </c>
      <c r="E5047">
        <v>0</v>
      </c>
      <c r="F5047">
        <v>0</v>
      </c>
      <c r="G5047">
        <v>0</v>
      </c>
      <c r="H5047">
        <v>0</v>
      </c>
      <c r="I5047" t="s">
        <v>22</v>
      </c>
      <c r="J5047" t="s">
        <v>22</v>
      </c>
    </row>
    <row r="5048" spans="1:10" x14ac:dyDescent="0.25">
      <c r="A5048" t="s">
        <v>3297</v>
      </c>
      <c r="B5048" t="s">
        <v>3298</v>
      </c>
      <c r="C5048">
        <v>0</v>
      </c>
      <c r="D5048">
        <v>0</v>
      </c>
      <c r="E5048">
        <v>0</v>
      </c>
      <c r="F5048">
        <v>0</v>
      </c>
      <c r="G5048">
        <v>0</v>
      </c>
      <c r="H5048">
        <v>0</v>
      </c>
      <c r="I5048" t="s">
        <v>22</v>
      </c>
      <c r="J5048" t="s">
        <v>22</v>
      </c>
    </row>
    <row r="5049" spans="1:10" x14ac:dyDescent="0.25">
      <c r="A5049" t="s">
        <v>3299</v>
      </c>
      <c r="B5049" t="s">
        <v>3300</v>
      </c>
      <c r="C5049">
        <v>0</v>
      </c>
      <c r="D5049">
        <v>0</v>
      </c>
      <c r="E5049">
        <v>0</v>
      </c>
      <c r="F5049">
        <v>0</v>
      </c>
      <c r="G5049">
        <v>0</v>
      </c>
      <c r="H5049">
        <v>0</v>
      </c>
      <c r="I5049" t="s">
        <v>22</v>
      </c>
      <c r="J5049" t="s">
        <v>22</v>
      </c>
    </row>
    <row r="5050" spans="1:10" x14ac:dyDescent="0.25">
      <c r="A5050" t="s">
        <v>3301</v>
      </c>
      <c r="B5050" t="s">
        <v>3302</v>
      </c>
      <c r="C5050">
        <v>0</v>
      </c>
      <c r="D5050">
        <v>0</v>
      </c>
      <c r="E5050">
        <v>0</v>
      </c>
      <c r="F5050">
        <v>0</v>
      </c>
      <c r="G5050">
        <v>0</v>
      </c>
      <c r="H5050">
        <v>0</v>
      </c>
      <c r="I5050" t="s">
        <v>22</v>
      </c>
      <c r="J5050" t="s">
        <v>22</v>
      </c>
    </row>
    <row r="5051" spans="1:10" x14ac:dyDescent="0.25">
      <c r="C5051" t="s">
        <v>108</v>
      </c>
      <c r="D5051" t="s">
        <v>108</v>
      </c>
      <c r="E5051" t="s">
        <v>108</v>
      </c>
      <c r="F5051" t="s">
        <v>108</v>
      </c>
      <c r="G5051" t="s">
        <v>108</v>
      </c>
    </row>
    <row r="5052" spans="1:10" x14ac:dyDescent="0.25">
      <c r="H5052" t="s">
        <v>22</v>
      </c>
      <c r="I5052" t="s">
        <v>22</v>
      </c>
      <c r="J5052" t="s">
        <v>22</v>
      </c>
    </row>
    <row r="5053" spans="1:10" x14ac:dyDescent="0.25">
      <c r="A5053" t="s">
        <v>109</v>
      </c>
    </row>
    <row r="5054" spans="1:10" x14ac:dyDescent="0.25">
      <c r="B5054" t="s">
        <v>3303</v>
      </c>
      <c r="C5054" s="2">
        <v>2695932</v>
      </c>
      <c r="D5054" s="2">
        <v>2764673</v>
      </c>
      <c r="E5054" s="2">
        <v>2727742</v>
      </c>
      <c r="F5054" s="2">
        <v>4493771</v>
      </c>
      <c r="G5054" s="2">
        <v>4451259</v>
      </c>
      <c r="H5054">
        <v>0</v>
      </c>
    </row>
    <row r="5055" spans="1:10" x14ac:dyDescent="0.25">
      <c r="A5055" t="s">
        <v>18</v>
      </c>
      <c r="B5055" t="s">
        <v>19</v>
      </c>
      <c r="C5055" t="s">
        <v>20</v>
      </c>
      <c r="D5055" t="s">
        <v>21</v>
      </c>
      <c r="E5055" t="s">
        <v>26</v>
      </c>
    </row>
    <row r="5056" spans="1:10" x14ac:dyDescent="0.25">
      <c r="E5056" t="s">
        <v>339</v>
      </c>
      <c r="F5056" t="s">
        <v>23</v>
      </c>
      <c r="G5056" t="s">
        <v>24</v>
      </c>
      <c r="H5056" t="s">
        <v>20</v>
      </c>
      <c r="I5056" t="s">
        <v>24</v>
      </c>
      <c r="J5056" t="s">
        <v>20</v>
      </c>
    </row>
    <row r="5058" spans="1:10" x14ac:dyDescent="0.25">
      <c r="A5058" t="s">
        <v>383</v>
      </c>
      <c r="B5058" t="s">
        <v>384</v>
      </c>
      <c r="C5058" s="2">
        <v>2701835</v>
      </c>
      <c r="D5058" s="2">
        <v>2808258</v>
      </c>
      <c r="E5058" s="2">
        <v>2795826</v>
      </c>
      <c r="F5058" s="2">
        <v>4536148</v>
      </c>
      <c r="G5058" s="2">
        <v>4473567</v>
      </c>
      <c r="H5058">
        <v>0</v>
      </c>
    </row>
    <row r="5059" spans="1:10" x14ac:dyDescent="0.25">
      <c r="A5059" t="s">
        <v>110</v>
      </c>
    </row>
    <row r="5060" spans="1:10" x14ac:dyDescent="0.25">
      <c r="A5060" s="1">
        <v>43991</v>
      </c>
      <c r="B5060" t="s">
        <v>1615</v>
      </c>
      <c r="D5060" t="s">
        <v>112</v>
      </c>
      <c r="E5060" t="s">
        <v>113</v>
      </c>
      <c r="F5060" t="s">
        <v>114</v>
      </c>
      <c r="J5060" t="s">
        <v>115</v>
      </c>
    </row>
    <row r="5061" spans="1:10" x14ac:dyDescent="0.25">
      <c r="D5061" t="s">
        <v>116</v>
      </c>
      <c r="E5061" t="s">
        <v>117</v>
      </c>
      <c r="F5061" t="s">
        <v>118</v>
      </c>
    </row>
    <row r="5062" spans="1:10" x14ac:dyDescent="0.25">
      <c r="D5062" t="s">
        <v>119</v>
      </c>
      <c r="E5062" t="s">
        <v>120</v>
      </c>
      <c r="F5062" t="s">
        <v>121</v>
      </c>
    </row>
    <row r="5063" spans="1:10" x14ac:dyDescent="0.25">
      <c r="A5063" t="s">
        <v>3265</v>
      </c>
      <c r="B5063" t="s">
        <v>1589</v>
      </c>
    </row>
    <row r="5064" spans="1:10" x14ac:dyDescent="0.25">
      <c r="A5064" t="s">
        <v>386</v>
      </c>
    </row>
    <row r="5065" spans="1:10" x14ac:dyDescent="0.25">
      <c r="F5065" t="s">
        <v>2</v>
      </c>
      <c r="G5065" t="s">
        <v>3</v>
      </c>
      <c r="H5065" t="s">
        <v>4</v>
      </c>
      <c r="I5065" t="s">
        <v>5</v>
      </c>
      <c r="J5065" t="s">
        <v>6</v>
      </c>
    </row>
    <row r="5066" spans="1:10" x14ac:dyDescent="0.25">
      <c r="C5066" t="s">
        <v>7</v>
      </c>
      <c r="D5066" t="s">
        <v>8</v>
      </c>
      <c r="E5066" t="s">
        <v>9</v>
      </c>
      <c r="F5066" t="s">
        <v>10</v>
      </c>
      <c r="G5066" t="s">
        <v>124</v>
      </c>
      <c r="H5066" t="s">
        <v>12</v>
      </c>
      <c r="I5066" t="s">
        <v>13</v>
      </c>
      <c r="J5066" t="s">
        <v>14</v>
      </c>
    </row>
    <row r="5067" spans="1:10" x14ac:dyDescent="0.25">
      <c r="C5067" t="s">
        <v>15</v>
      </c>
      <c r="D5067" t="s">
        <v>15</v>
      </c>
      <c r="E5067" t="s">
        <v>15</v>
      </c>
      <c r="F5067" t="s">
        <v>16</v>
      </c>
      <c r="G5067" t="s">
        <v>15</v>
      </c>
      <c r="H5067" t="s">
        <v>17</v>
      </c>
      <c r="I5067" t="s">
        <v>16</v>
      </c>
      <c r="J5067" t="s">
        <v>16</v>
      </c>
    </row>
    <row r="5068" spans="1:10" x14ac:dyDescent="0.25">
      <c r="A5068" t="s">
        <v>18</v>
      </c>
      <c r="B5068" t="s">
        <v>19</v>
      </c>
      <c r="C5068" t="s">
        <v>20</v>
      </c>
      <c r="D5068" t="s">
        <v>21</v>
      </c>
      <c r="E5068" t="s">
        <v>22</v>
      </c>
      <c r="F5068" t="s">
        <v>23</v>
      </c>
      <c r="G5068" t="s">
        <v>24</v>
      </c>
      <c r="H5068" t="s">
        <v>20</v>
      </c>
      <c r="I5068" t="s">
        <v>24</v>
      </c>
      <c r="J5068" t="s">
        <v>20</v>
      </c>
    </row>
    <row r="5071" spans="1:10" x14ac:dyDescent="0.25">
      <c r="A5071" t="s">
        <v>3266</v>
      </c>
      <c r="B5071" t="s">
        <v>3267</v>
      </c>
    </row>
    <row r="5072" spans="1:10" x14ac:dyDescent="0.25">
      <c r="A5072" t="s">
        <v>389</v>
      </c>
      <c r="B5072" t="s">
        <v>567</v>
      </c>
    </row>
    <row r="5074" spans="1:10" x14ac:dyDescent="0.25">
      <c r="A5074" t="s">
        <v>3304</v>
      </c>
      <c r="B5074" t="s">
        <v>3305</v>
      </c>
    </row>
    <row r="5075" spans="1:10" x14ac:dyDescent="0.25">
      <c r="A5075" t="s">
        <v>18</v>
      </c>
      <c r="B5075" t="s">
        <v>320</v>
      </c>
    </row>
    <row r="5076" spans="1:10" x14ac:dyDescent="0.25">
      <c r="A5076" t="s">
        <v>3306</v>
      </c>
      <c r="B5076" t="s">
        <v>3307</v>
      </c>
      <c r="C5076">
        <v>0</v>
      </c>
      <c r="D5076">
        <v>0</v>
      </c>
      <c r="E5076">
        <v>0</v>
      </c>
      <c r="F5076">
        <v>0</v>
      </c>
      <c r="G5076">
        <v>0</v>
      </c>
      <c r="H5076">
        <v>0</v>
      </c>
      <c r="I5076" t="s">
        <v>22</v>
      </c>
      <c r="J5076" t="s">
        <v>22</v>
      </c>
    </row>
    <row r="5077" spans="1:10" x14ac:dyDescent="0.25">
      <c r="C5077" t="s">
        <v>108</v>
      </c>
      <c r="D5077" t="s">
        <v>108</v>
      </c>
      <c r="E5077" t="s">
        <v>108</v>
      </c>
      <c r="F5077" t="s">
        <v>108</v>
      </c>
      <c r="G5077" t="s">
        <v>108</v>
      </c>
    </row>
    <row r="5078" spans="1:10" x14ac:dyDescent="0.25">
      <c r="H5078" t="s">
        <v>22</v>
      </c>
      <c r="I5078" t="s">
        <v>22</v>
      </c>
      <c r="J5078" t="s">
        <v>22</v>
      </c>
    </row>
    <row r="5079" spans="1:10" x14ac:dyDescent="0.25">
      <c r="A5079" t="s">
        <v>109</v>
      </c>
    </row>
    <row r="5080" spans="1:10" x14ac:dyDescent="0.25">
      <c r="B5080" t="s">
        <v>3308</v>
      </c>
      <c r="C5080">
        <v>0</v>
      </c>
      <c r="D5080">
        <v>0</v>
      </c>
      <c r="E5080">
        <v>0</v>
      </c>
      <c r="F5080">
        <v>0</v>
      </c>
      <c r="G5080">
        <v>0</v>
      </c>
      <c r="H5080">
        <v>0</v>
      </c>
    </row>
    <row r="5081" spans="1:10" x14ac:dyDescent="0.25">
      <c r="A5081" t="s">
        <v>18</v>
      </c>
      <c r="B5081" t="s">
        <v>19</v>
      </c>
      <c r="C5081" t="s">
        <v>20</v>
      </c>
      <c r="D5081" t="s">
        <v>21</v>
      </c>
      <c r="E5081" t="s">
        <v>26</v>
      </c>
    </row>
    <row r="5082" spans="1:10" x14ac:dyDescent="0.25">
      <c r="E5082" t="s">
        <v>339</v>
      </c>
      <c r="F5082" t="s">
        <v>23</v>
      </c>
      <c r="G5082" t="s">
        <v>24</v>
      </c>
      <c r="H5082" t="s">
        <v>20</v>
      </c>
      <c r="I5082" t="s">
        <v>24</v>
      </c>
      <c r="J5082" t="s">
        <v>20</v>
      </c>
    </row>
    <row r="5083" spans="1:10" x14ac:dyDescent="0.25">
      <c r="A5083" t="s">
        <v>109</v>
      </c>
    </row>
    <row r="5084" spans="1:10" x14ac:dyDescent="0.25">
      <c r="A5084">
        <v>80</v>
      </c>
      <c r="B5084" t="e">
        <f>-ACCUMULATED INTEREST</f>
        <v>#NAME?</v>
      </c>
      <c r="C5084">
        <v>0</v>
      </c>
      <c r="D5084">
        <v>0</v>
      </c>
      <c r="E5084">
        <v>0</v>
      </c>
      <c r="F5084">
        <v>0</v>
      </c>
      <c r="G5084">
        <v>0</v>
      </c>
      <c r="H5084">
        <v>0</v>
      </c>
    </row>
    <row r="5086" spans="1:10" x14ac:dyDescent="0.25">
      <c r="A5086" t="s">
        <v>3287</v>
      </c>
      <c r="B5086" t="s">
        <v>3288</v>
      </c>
    </row>
    <row r="5087" spans="1:10" x14ac:dyDescent="0.25">
      <c r="A5087" t="s">
        <v>389</v>
      </c>
      <c r="B5087" t="s">
        <v>1467</v>
      </c>
    </row>
    <row r="5089" spans="1:10" x14ac:dyDescent="0.25">
      <c r="A5089" t="s">
        <v>442</v>
      </c>
      <c r="B5089" t="s">
        <v>443</v>
      </c>
    </row>
    <row r="5090" spans="1:10" x14ac:dyDescent="0.25">
      <c r="A5090" t="s">
        <v>18</v>
      </c>
      <c r="B5090" t="s">
        <v>21</v>
      </c>
    </row>
    <row r="5091" spans="1:10" x14ac:dyDescent="0.25">
      <c r="A5091" t="s">
        <v>3309</v>
      </c>
      <c r="B5091" t="s">
        <v>710</v>
      </c>
      <c r="C5091" s="2">
        <v>2650</v>
      </c>
      <c r="D5091" s="2">
        <v>3000</v>
      </c>
      <c r="E5091" s="2">
        <v>2800</v>
      </c>
      <c r="F5091" s="2">
        <v>8000</v>
      </c>
      <c r="G5091" s="2">
        <v>2550</v>
      </c>
      <c r="H5091">
        <v>0</v>
      </c>
      <c r="I5091" t="s">
        <v>22</v>
      </c>
      <c r="J5091" t="s">
        <v>22</v>
      </c>
    </row>
    <row r="5092" spans="1:10" x14ac:dyDescent="0.25">
      <c r="C5092" t="s">
        <v>108</v>
      </c>
      <c r="D5092" t="s">
        <v>108</v>
      </c>
      <c r="E5092" t="s">
        <v>108</v>
      </c>
      <c r="F5092" t="s">
        <v>108</v>
      </c>
      <c r="G5092" t="s">
        <v>108</v>
      </c>
    </row>
    <row r="5093" spans="1:10" x14ac:dyDescent="0.25">
      <c r="H5093" t="s">
        <v>22</v>
      </c>
      <c r="I5093" t="s">
        <v>22</v>
      </c>
      <c r="J5093" t="s">
        <v>22</v>
      </c>
    </row>
    <row r="5094" spans="1:10" x14ac:dyDescent="0.25">
      <c r="A5094" t="s">
        <v>109</v>
      </c>
    </row>
    <row r="5095" spans="1:10" x14ac:dyDescent="0.25">
      <c r="B5095" t="s">
        <v>478</v>
      </c>
      <c r="C5095" s="2">
        <v>2650</v>
      </c>
      <c r="D5095" s="2">
        <v>3000</v>
      </c>
      <c r="E5095" s="2">
        <v>2800</v>
      </c>
      <c r="F5095" s="2">
        <v>8000</v>
      </c>
      <c r="G5095" s="2">
        <v>2550</v>
      </c>
      <c r="H5095">
        <v>0</v>
      </c>
    </row>
    <row r="5097" spans="1:10" x14ac:dyDescent="0.25">
      <c r="A5097" t="s">
        <v>3304</v>
      </c>
      <c r="B5097" t="s">
        <v>3305</v>
      </c>
    </row>
    <row r="5098" spans="1:10" x14ac:dyDescent="0.25">
      <c r="A5098" t="s">
        <v>18</v>
      </c>
      <c r="B5098" t="s">
        <v>320</v>
      </c>
    </row>
    <row r="5099" spans="1:10" x14ac:dyDescent="0.25">
      <c r="A5099" t="s">
        <v>3310</v>
      </c>
      <c r="B5099" t="s">
        <v>3311</v>
      </c>
      <c r="C5099">
        <v>0</v>
      </c>
      <c r="D5099">
        <v>0</v>
      </c>
      <c r="E5099">
        <v>0</v>
      </c>
      <c r="F5099">
        <v>0</v>
      </c>
      <c r="G5099">
        <v>0</v>
      </c>
      <c r="H5099">
        <v>0</v>
      </c>
      <c r="I5099" t="s">
        <v>22</v>
      </c>
      <c r="J5099" t="s">
        <v>22</v>
      </c>
    </row>
    <row r="5100" spans="1:10" x14ac:dyDescent="0.25">
      <c r="A5100" t="s">
        <v>3312</v>
      </c>
      <c r="B5100" t="s">
        <v>3313</v>
      </c>
      <c r="C5100">
        <v>0</v>
      </c>
      <c r="D5100">
        <v>0</v>
      </c>
      <c r="E5100">
        <v>0</v>
      </c>
      <c r="F5100">
        <v>0</v>
      </c>
      <c r="G5100">
        <v>0</v>
      </c>
      <c r="H5100">
        <v>0</v>
      </c>
      <c r="I5100" t="s">
        <v>22</v>
      </c>
      <c r="J5100" t="s">
        <v>22</v>
      </c>
    </row>
    <row r="5101" spans="1:10" x14ac:dyDescent="0.25">
      <c r="A5101" t="s">
        <v>3314</v>
      </c>
      <c r="B5101" t="s">
        <v>3315</v>
      </c>
      <c r="C5101">
        <v>0</v>
      </c>
      <c r="D5101">
        <v>0</v>
      </c>
      <c r="E5101">
        <v>0</v>
      </c>
      <c r="F5101">
        <v>0</v>
      </c>
      <c r="G5101">
        <v>0</v>
      </c>
      <c r="H5101">
        <v>0</v>
      </c>
      <c r="I5101" t="s">
        <v>22</v>
      </c>
      <c r="J5101" t="s">
        <v>22</v>
      </c>
    </row>
    <row r="5102" spans="1:10" x14ac:dyDescent="0.25">
      <c r="A5102" t="s">
        <v>3316</v>
      </c>
      <c r="B5102" t="s">
        <v>3276</v>
      </c>
      <c r="C5102">
        <v>0</v>
      </c>
      <c r="D5102">
        <v>0</v>
      </c>
      <c r="E5102">
        <v>0</v>
      </c>
      <c r="F5102">
        <v>0</v>
      </c>
      <c r="G5102">
        <v>0</v>
      </c>
      <c r="H5102">
        <v>0</v>
      </c>
      <c r="I5102" t="s">
        <v>22</v>
      </c>
      <c r="J5102" t="s">
        <v>22</v>
      </c>
    </row>
    <row r="5103" spans="1:10" x14ac:dyDescent="0.25">
      <c r="C5103" t="s">
        <v>108</v>
      </c>
      <c r="D5103" t="s">
        <v>108</v>
      </c>
      <c r="E5103" t="s">
        <v>108</v>
      </c>
      <c r="F5103" t="s">
        <v>108</v>
      </c>
      <c r="G5103" t="s">
        <v>108</v>
      </c>
    </row>
    <row r="5104" spans="1:10" x14ac:dyDescent="0.25">
      <c r="H5104" t="s">
        <v>22</v>
      </c>
      <c r="I5104" t="s">
        <v>22</v>
      </c>
      <c r="J5104" t="s">
        <v>22</v>
      </c>
    </row>
    <row r="5105" spans="1:10" x14ac:dyDescent="0.25">
      <c r="A5105" t="s">
        <v>109</v>
      </c>
    </row>
    <row r="5106" spans="1:10" x14ac:dyDescent="0.25">
      <c r="B5106" t="s">
        <v>3308</v>
      </c>
      <c r="C5106">
        <v>0</v>
      </c>
      <c r="D5106">
        <v>0</v>
      </c>
      <c r="E5106">
        <v>0</v>
      </c>
      <c r="F5106">
        <v>0</v>
      </c>
      <c r="G5106">
        <v>0</v>
      </c>
      <c r="H5106">
        <v>0</v>
      </c>
    </row>
    <row r="5108" spans="1:10" x14ac:dyDescent="0.25">
      <c r="A5108" t="s">
        <v>3317</v>
      </c>
      <c r="B5108" t="s">
        <v>3318</v>
      </c>
    </row>
    <row r="5109" spans="1:10" x14ac:dyDescent="0.25">
      <c r="A5109" t="s">
        <v>18</v>
      </c>
      <c r="B5109" t="s">
        <v>339</v>
      </c>
    </row>
    <row r="5110" spans="1:10" x14ac:dyDescent="0.25">
      <c r="A5110" t="s">
        <v>1902</v>
      </c>
      <c r="B5110" t="s">
        <v>3319</v>
      </c>
      <c r="C5110">
        <v>0</v>
      </c>
      <c r="D5110">
        <v>0</v>
      </c>
      <c r="E5110" s="2">
        <v>9500</v>
      </c>
      <c r="F5110">
        <v>0</v>
      </c>
      <c r="G5110">
        <v>0</v>
      </c>
      <c r="H5110">
        <v>0</v>
      </c>
      <c r="I5110" t="s">
        <v>22</v>
      </c>
      <c r="J5110" t="s">
        <v>22</v>
      </c>
    </row>
    <row r="5111" spans="1:10" x14ac:dyDescent="0.25">
      <c r="A5111" t="s">
        <v>3320</v>
      </c>
      <c r="B5111" t="s">
        <v>3321</v>
      </c>
      <c r="C5111">
        <v>0</v>
      </c>
      <c r="D5111">
        <v>0</v>
      </c>
      <c r="E5111">
        <v>0</v>
      </c>
      <c r="F5111">
        <v>0</v>
      </c>
      <c r="G5111">
        <v>0</v>
      </c>
      <c r="H5111">
        <v>0</v>
      </c>
      <c r="I5111" t="s">
        <v>22</v>
      </c>
      <c r="J5111" t="s">
        <v>22</v>
      </c>
    </row>
    <row r="5112" spans="1:10" x14ac:dyDescent="0.25">
      <c r="C5112" t="s">
        <v>108</v>
      </c>
      <c r="D5112" t="s">
        <v>108</v>
      </c>
      <c r="E5112" t="s">
        <v>108</v>
      </c>
      <c r="F5112" t="s">
        <v>108</v>
      </c>
      <c r="G5112" t="s">
        <v>108</v>
      </c>
    </row>
    <row r="5113" spans="1:10" x14ac:dyDescent="0.25">
      <c r="H5113" t="s">
        <v>22</v>
      </c>
      <c r="I5113" t="s">
        <v>22</v>
      </c>
      <c r="J5113" t="s">
        <v>22</v>
      </c>
    </row>
    <row r="5114" spans="1:10" x14ac:dyDescent="0.25">
      <c r="A5114" t="s">
        <v>109</v>
      </c>
    </row>
    <row r="5115" spans="1:10" x14ac:dyDescent="0.25">
      <c r="B5115" t="s">
        <v>3322</v>
      </c>
      <c r="C5115">
        <v>0</v>
      </c>
      <c r="D5115">
        <v>0</v>
      </c>
      <c r="E5115" s="2">
        <v>9500</v>
      </c>
      <c r="F5115">
        <v>0</v>
      </c>
      <c r="G5115">
        <v>0</v>
      </c>
      <c r="H5115">
        <v>0</v>
      </c>
    </row>
    <row r="5117" spans="1:10" x14ac:dyDescent="0.25">
      <c r="A5117" t="s">
        <v>524</v>
      </c>
      <c r="B5117" t="s">
        <v>525</v>
      </c>
    </row>
    <row r="5118" spans="1:10" x14ac:dyDescent="0.25">
      <c r="A5118" t="s">
        <v>18</v>
      </c>
      <c r="B5118" t="s">
        <v>526</v>
      </c>
    </row>
    <row r="5119" spans="1:10" x14ac:dyDescent="0.25">
      <c r="A5119" t="s">
        <v>3323</v>
      </c>
      <c r="B5119" t="s">
        <v>3259</v>
      </c>
      <c r="C5119">
        <v>0</v>
      </c>
      <c r="D5119">
        <v>0</v>
      </c>
      <c r="E5119">
        <v>0</v>
      </c>
      <c r="F5119">
        <v>0</v>
      </c>
      <c r="G5119">
        <v>0</v>
      </c>
      <c r="H5119">
        <v>0</v>
      </c>
      <c r="I5119" t="s">
        <v>22</v>
      </c>
      <c r="J5119" t="s">
        <v>22</v>
      </c>
    </row>
    <row r="5120" spans="1:10" x14ac:dyDescent="0.25">
      <c r="A5120" t="s">
        <v>3324</v>
      </c>
      <c r="B5120" t="s">
        <v>3325</v>
      </c>
      <c r="C5120">
        <v>0</v>
      </c>
      <c r="D5120">
        <v>0</v>
      </c>
      <c r="E5120">
        <v>0</v>
      </c>
      <c r="F5120">
        <v>0</v>
      </c>
      <c r="G5120">
        <v>0</v>
      </c>
      <c r="H5120">
        <v>0</v>
      </c>
      <c r="I5120" t="s">
        <v>22</v>
      </c>
      <c r="J5120" t="s">
        <v>22</v>
      </c>
    </row>
    <row r="5121" spans="1:10" x14ac:dyDescent="0.25">
      <c r="A5121" t="s">
        <v>3326</v>
      </c>
      <c r="B5121" t="s">
        <v>3327</v>
      </c>
      <c r="C5121">
        <v>0</v>
      </c>
      <c r="D5121">
        <v>0</v>
      </c>
      <c r="E5121">
        <v>0</v>
      </c>
      <c r="F5121">
        <v>0</v>
      </c>
      <c r="G5121">
        <v>0</v>
      </c>
      <c r="H5121">
        <v>0</v>
      </c>
      <c r="I5121" t="s">
        <v>22</v>
      </c>
      <c r="J5121" t="s">
        <v>22</v>
      </c>
    </row>
    <row r="5122" spans="1:10" x14ac:dyDescent="0.25">
      <c r="A5122" t="s">
        <v>3328</v>
      </c>
      <c r="B5122" t="s">
        <v>3329</v>
      </c>
      <c r="C5122">
        <v>0</v>
      </c>
      <c r="D5122">
        <v>0</v>
      </c>
      <c r="E5122">
        <v>0</v>
      </c>
      <c r="F5122">
        <v>0</v>
      </c>
      <c r="G5122">
        <v>0</v>
      </c>
      <c r="H5122">
        <v>0</v>
      </c>
      <c r="I5122" t="s">
        <v>22</v>
      </c>
      <c r="J5122" t="s">
        <v>22</v>
      </c>
    </row>
    <row r="5123" spans="1:10" x14ac:dyDescent="0.25">
      <c r="A5123" t="s">
        <v>3330</v>
      </c>
      <c r="B5123" t="s">
        <v>3331</v>
      </c>
      <c r="C5123">
        <v>0</v>
      </c>
      <c r="D5123">
        <v>0</v>
      </c>
      <c r="E5123">
        <v>0</v>
      </c>
      <c r="F5123">
        <v>0</v>
      </c>
      <c r="G5123">
        <v>0</v>
      </c>
      <c r="H5123">
        <v>0</v>
      </c>
      <c r="I5123" t="s">
        <v>22</v>
      </c>
      <c r="J5123" t="s">
        <v>22</v>
      </c>
    </row>
    <row r="5124" spans="1:10" x14ac:dyDescent="0.25">
      <c r="A5124" t="s">
        <v>3332</v>
      </c>
      <c r="B5124" t="s">
        <v>3333</v>
      </c>
      <c r="C5124">
        <v>0</v>
      </c>
      <c r="D5124">
        <v>0</v>
      </c>
      <c r="E5124">
        <v>0</v>
      </c>
      <c r="F5124">
        <v>0</v>
      </c>
      <c r="G5124">
        <v>0</v>
      </c>
      <c r="H5124">
        <v>0</v>
      </c>
      <c r="I5124" t="s">
        <v>22</v>
      </c>
      <c r="J5124" t="s">
        <v>22</v>
      </c>
    </row>
    <row r="5125" spans="1:10" x14ac:dyDescent="0.25">
      <c r="A5125" t="s">
        <v>3334</v>
      </c>
      <c r="B5125" t="s">
        <v>3335</v>
      </c>
      <c r="C5125">
        <v>0</v>
      </c>
      <c r="D5125">
        <v>0</v>
      </c>
      <c r="E5125">
        <v>0</v>
      </c>
      <c r="F5125">
        <v>0</v>
      </c>
      <c r="G5125">
        <v>0</v>
      </c>
      <c r="H5125">
        <v>0</v>
      </c>
      <c r="I5125" t="s">
        <v>22</v>
      </c>
      <c r="J5125" t="s">
        <v>22</v>
      </c>
    </row>
    <row r="5126" spans="1:10" x14ac:dyDescent="0.25">
      <c r="A5126" t="s">
        <v>3336</v>
      </c>
      <c r="B5126" t="s">
        <v>3337</v>
      </c>
      <c r="C5126">
        <v>0</v>
      </c>
      <c r="D5126">
        <v>0</v>
      </c>
      <c r="E5126">
        <v>0</v>
      </c>
      <c r="F5126">
        <v>0</v>
      </c>
      <c r="G5126">
        <v>0</v>
      </c>
      <c r="H5126">
        <v>0</v>
      </c>
      <c r="I5126" t="s">
        <v>22</v>
      </c>
      <c r="J5126" t="s">
        <v>22</v>
      </c>
    </row>
    <row r="5127" spans="1:10" x14ac:dyDescent="0.25">
      <c r="A5127" t="s">
        <v>3338</v>
      </c>
      <c r="B5127" t="s">
        <v>3339</v>
      </c>
      <c r="C5127">
        <v>0</v>
      </c>
      <c r="D5127">
        <v>0</v>
      </c>
      <c r="E5127">
        <v>0</v>
      </c>
      <c r="F5127">
        <v>0</v>
      </c>
      <c r="G5127">
        <v>0</v>
      </c>
      <c r="H5127">
        <v>0</v>
      </c>
      <c r="I5127" t="s">
        <v>22</v>
      </c>
      <c r="J5127" t="s">
        <v>22</v>
      </c>
    </row>
    <row r="5128" spans="1:10" x14ac:dyDescent="0.25">
      <c r="A5128" t="s">
        <v>3340</v>
      </c>
      <c r="B5128" t="s">
        <v>3341</v>
      </c>
      <c r="C5128">
        <v>0</v>
      </c>
      <c r="D5128">
        <v>0</v>
      </c>
      <c r="E5128">
        <v>0</v>
      </c>
      <c r="F5128">
        <v>0</v>
      </c>
      <c r="G5128">
        <v>0</v>
      </c>
      <c r="H5128">
        <v>0</v>
      </c>
      <c r="I5128" t="s">
        <v>22</v>
      </c>
      <c r="J5128" t="s">
        <v>22</v>
      </c>
    </row>
    <row r="5129" spans="1:10" x14ac:dyDescent="0.25">
      <c r="A5129" t="s">
        <v>3342</v>
      </c>
      <c r="B5129" t="s">
        <v>3343</v>
      </c>
      <c r="C5129">
        <v>0</v>
      </c>
      <c r="D5129">
        <v>0</v>
      </c>
      <c r="E5129">
        <v>0</v>
      </c>
      <c r="F5129">
        <v>0</v>
      </c>
      <c r="G5129">
        <v>0</v>
      </c>
      <c r="H5129">
        <v>0</v>
      </c>
      <c r="I5129" t="s">
        <v>22</v>
      </c>
      <c r="J5129" t="s">
        <v>22</v>
      </c>
    </row>
    <row r="5130" spans="1:10" x14ac:dyDescent="0.25">
      <c r="A5130" t="s">
        <v>3344</v>
      </c>
      <c r="B5130" t="s">
        <v>3345</v>
      </c>
      <c r="C5130">
        <v>0</v>
      </c>
      <c r="D5130">
        <v>0</v>
      </c>
      <c r="E5130">
        <v>0</v>
      </c>
      <c r="F5130">
        <v>0</v>
      </c>
      <c r="G5130">
        <v>0</v>
      </c>
      <c r="H5130">
        <v>0</v>
      </c>
      <c r="I5130" t="s">
        <v>22</v>
      </c>
      <c r="J5130" t="s">
        <v>22</v>
      </c>
    </row>
    <row r="5131" spans="1:10" x14ac:dyDescent="0.25">
      <c r="A5131" t="s">
        <v>3346</v>
      </c>
      <c r="B5131" t="s">
        <v>3347</v>
      </c>
      <c r="C5131">
        <v>0</v>
      </c>
      <c r="D5131">
        <v>0</v>
      </c>
      <c r="E5131">
        <v>0</v>
      </c>
      <c r="F5131">
        <v>0</v>
      </c>
      <c r="G5131">
        <v>0</v>
      </c>
      <c r="H5131">
        <v>0</v>
      </c>
      <c r="I5131" t="s">
        <v>22</v>
      </c>
      <c r="J5131" t="s">
        <v>22</v>
      </c>
    </row>
    <row r="5132" spans="1:10" x14ac:dyDescent="0.25">
      <c r="A5132" t="s">
        <v>3348</v>
      </c>
      <c r="B5132" t="s">
        <v>3349</v>
      </c>
      <c r="C5132">
        <v>0</v>
      </c>
      <c r="D5132">
        <v>0</v>
      </c>
      <c r="E5132">
        <v>0</v>
      </c>
      <c r="F5132">
        <v>0</v>
      </c>
      <c r="G5132">
        <v>0</v>
      </c>
      <c r="H5132">
        <v>0</v>
      </c>
      <c r="I5132" t="s">
        <v>22</v>
      </c>
      <c r="J5132" t="s">
        <v>22</v>
      </c>
    </row>
    <row r="5133" spans="1:10" x14ac:dyDescent="0.25">
      <c r="A5133" t="s">
        <v>3350</v>
      </c>
      <c r="B5133" t="s">
        <v>3351</v>
      </c>
      <c r="C5133">
        <v>0</v>
      </c>
      <c r="D5133">
        <v>0</v>
      </c>
      <c r="E5133">
        <v>0</v>
      </c>
      <c r="F5133">
        <v>0</v>
      </c>
      <c r="G5133">
        <v>0</v>
      </c>
      <c r="H5133">
        <v>0</v>
      </c>
      <c r="I5133" t="s">
        <v>22</v>
      </c>
      <c r="J5133" t="s">
        <v>22</v>
      </c>
    </row>
    <row r="5134" spans="1:10" x14ac:dyDescent="0.25">
      <c r="A5134" t="s">
        <v>3352</v>
      </c>
      <c r="B5134" t="s">
        <v>3353</v>
      </c>
      <c r="C5134" s="2">
        <v>380000</v>
      </c>
      <c r="D5134" s="2">
        <v>395000</v>
      </c>
      <c r="E5134" s="2">
        <v>415000</v>
      </c>
      <c r="F5134" s="2">
        <v>435000</v>
      </c>
      <c r="G5134" s="2">
        <v>435000</v>
      </c>
      <c r="H5134">
        <v>0</v>
      </c>
      <c r="I5134" t="s">
        <v>22</v>
      </c>
      <c r="J5134" t="s">
        <v>22</v>
      </c>
    </row>
    <row r="5135" spans="1:10" x14ac:dyDescent="0.25">
      <c r="A5135" t="s">
        <v>3354</v>
      </c>
      <c r="B5135" t="s">
        <v>3355</v>
      </c>
      <c r="C5135" s="2">
        <v>97675</v>
      </c>
      <c r="D5135" s="2">
        <v>81671</v>
      </c>
      <c r="E5135" s="2">
        <v>64944</v>
      </c>
      <c r="F5135" s="2">
        <v>47392</v>
      </c>
      <c r="G5135" s="2">
        <v>28187</v>
      </c>
      <c r="H5135">
        <v>0</v>
      </c>
      <c r="I5135" t="s">
        <v>22</v>
      </c>
      <c r="J5135" t="s">
        <v>22</v>
      </c>
    </row>
    <row r="5136" spans="1:10" x14ac:dyDescent="0.25">
      <c r="A5136" t="s">
        <v>3356</v>
      </c>
      <c r="B5136" t="s">
        <v>3357</v>
      </c>
      <c r="C5136" s="2">
        <v>111000</v>
      </c>
      <c r="D5136" s="2">
        <v>115000</v>
      </c>
      <c r="E5136" s="2">
        <v>119000</v>
      </c>
      <c r="F5136" s="2">
        <v>124000</v>
      </c>
      <c r="G5136" s="2">
        <v>124000</v>
      </c>
      <c r="H5136">
        <v>0</v>
      </c>
      <c r="I5136" t="s">
        <v>22</v>
      </c>
      <c r="J5136" t="s">
        <v>22</v>
      </c>
    </row>
    <row r="5137" spans="1:10" x14ac:dyDescent="0.25">
      <c r="A5137" t="s">
        <v>3358</v>
      </c>
      <c r="B5137" t="s">
        <v>3359</v>
      </c>
      <c r="C5137" s="2">
        <v>31560</v>
      </c>
      <c r="D5137" s="2">
        <v>27187</v>
      </c>
      <c r="E5137" s="2">
        <v>22659</v>
      </c>
      <c r="F5137" s="2">
        <v>17957</v>
      </c>
      <c r="G5137" s="2">
        <v>10178</v>
      </c>
      <c r="H5137">
        <v>0</v>
      </c>
      <c r="I5137" t="s">
        <v>22</v>
      </c>
      <c r="J5137" t="s">
        <v>22</v>
      </c>
    </row>
    <row r="5138" spans="1:10" x14ac:dyDescent="0.25">
      <c r="A5138" t="s">
        <v>110</v>
      </c>
    </row>
    <row r="5139" spans="1:10" x14ac:dyDescent="0.25">
      <c r="A5139" s="1">
        <v>43991</v>
      </c>
      <c r="B5139" t="s">
        <v>1615</v>
      </c>
      <c r="D5139" t="s">
        <v>112</v>
      </c>
      <c r="E5139" t="s">
        <v>113</v>
      </c>
      <c r="F5139" t="s">
        <v>114</v>
      </c>
      <c r="J5139" t="s">
        <v>217</v>
      </c>
    </row>
    <row r="5140" spans="1:10" x14ac:dyDescent="0.25">
      <c r="D5140" t="s">
        <v>116</v>
      </c>
      <c r="E5140" t="s">
        <v>117</v>
      </c>
      <c r="F5140" t="s">
        <v>118</v>
      </c>
    </row>
    <row r="5141" spans="1:10" x14ac:dyDescent="0.25">
      <c r="D5141" t="s">
        <v>119</v>
      </c>
      <c r="E5141" t="s">
        <v>120</v>
      </c>
      <c r="F5141" t="s">
        <v>121</v>
      </c>
    </row>
    <row r="5142" spans="1:10" x14ac:dyDescent="0.25">
      <c r="A5142" t="s">
        <v>3265</v>
      </c>
      <c r="B5142" t="s">
        <v>1589</v>
      </c>
    </row>
    <row r="5143" spans="1:10" x14ac:dyDescent="0.25">
      <c r="A5143" t="s">
        <v>386</v>
      </c>
    </row>
    <row r="5144" spans="1:10" x14ac:dyDescent="0.25">
      <c r="F5144" t="s">
        <v>2</v>
      </c>
      <c r="G5144" t="s">
        <v>3</v>
      </c>
      <c r="H5144" t="s">
        <v>4</v>
      </c>
      <c r="I5144" t="s">
        <v>5</v>
      </c>
      <c r="J5144" t="s">
        <v>6</v>
      </c>
    </row>
    <row r="5145" spans="1:10" x14ac:dyDescent="0.25">
      <c r="C5145" t="s">
        <v>7</v>
      </c>
      <c r="D5145" t="s">
        <v>8</v>
      </c>
      <c r="E5145" t="s">
        <v>9</v>
      </c>
      <c r="F5145" t="s">
        <v>10</v>
      </c>
      <c r="G5145" t="s">
        <v>124</v>
      </c>
      <c r="H5145" t="s">
        <v>12</v>
      </c>
      <c r="I5145" t="s">
        <v>13</v>
      </c>
      <c r="J5145" t="s">
        <v>14</v>
      </c>
    </row>
    <row r="5146" spans="1:10" x14ac:dyDescent="0.25">
      <c r="C5146" t="s">
        <v>15</v>
      </c>
      <c r="D5146" t="s">
        <v>15</v>
      </c>
      <c r="E5146" t="s">
        <v>15</v>
      </c>
      <c r="F5146" t="s">
        <v>16</v>
      </c>
      <c r="G5146" t="s">
        <v>15</v>
      </c>
      <c r="H5146" t="s">
        <v>17</v>
      </c>
      <c r="I5146" t="s">
        <v>16</v>
      </c>
      <c r="J5146" t="s">
        <v>16</v>
      </c>
    </row>
    <row r="5147" spans="1:10" x14ac:dyDescent="0.25">
      <c r="A5147" t="s">
        <v>18</v>
      </c>
      <c r="B5147" t="s">
        <v>19</v>
      </c>
      <c r="C5147" t="s">
        <v>20</v>
      </c>
      <c r="D5147" t="s">
        <v>21</v>
      </c>
      <c r="E5147" t="s">
        <v>22</v>
      </c>
      <c r="F5147" t="s">
        <v>23</v>
      </c>
      <c r="G5147" t="s">
        <v>24</v>
      </c>
      <c r="H5147" t="s">
        <v>20</v>
      </c>
      <c r="I5147" t="s">
        <v>24</v>
      </c>
      <c r="J5147" t="s">
        <v>20</v>
      </c>
    </row>
    <row r="5148" spans="1:10" x14ac:dyDescent="0.25">
      <c r="A5148" t="s">
        <v>3360</v>
      </c>
      <c r="B5148" t="s">
        <v>3361</v>
      </c>
      <c r="C5148">
        <v>0</v>
      </c>
      <c r="D5148">
        <v>0</v>
      </c>
      <c r="E5148">
        <v>0</v>
      </c>
      <c r="F5148">
        <v>0</v>
      </c>
      <c r="G5148">
        <v>0</v>
      </c>
      <c r="H5148">
        <v>0</v>
      </c>
      <c r="I5148" t="s">
        <v>22</v>
      </c>
      <c r="J5148" t="s">
        <v>22</v>
      </c>
    </row>
    <row r="5149" spans="1:10" x14ac:dyDescent="0.25">
      <c r="A5149" t="s">
        <v>3362</v>
      </c>
      <c r="B5149" t="s">
        <v>3363</v>
      </c>
      <c r="C5149">
        <v>0</v>
      </c>
      <c r="D5149">
        <v>0</v>
      </c>
      <c r="E5149">
        <v>0</v>
      </c>
      <c r="F5149">
        <v>0</v>
      </c>
      <c r="G5149">
        <v>0</v>
      </c>
      <c r="H5149">
        <v>0</v>
      </c>
      <c r="I5149" t="s">
        <v>22</v>
      </c>
      <c r="J5149" t="s">
        <v>22</v>
      </c>
    </row>
    <row r="5150" spans="1:10" x14ac:dyDescent="0.25">
      <c r="A5150" t="s">
        <v>3364</v>
      </c>
      <c r="B5150" t="s">
        <v>3365</v>
      </c>
      <c r="C5150">
        <v>0</v>
      </c>
      <c r="D5150">
        <v>0</v>
      </c>
      <c r="E5150">
        <v>0</v>
      </c>
      <c r="F5150">
        <v>0</v>
      </c>
      <c r="G5150">
        <v>0</v>
      </c>
      <c r="H5150">
        <v>0</v>
      </c>
      <c r="I5150" t="s">
        <v>22</v>
      </c>
      <c r="J5150" t="s">
        <v>22</v>
      </c>
    </row>
    <row r="5151" spans="1:10" x14ac:dyDescent="0.25">
      <c r="A5151" t="s">
        <v>3366</v>
      </c>
      <c r="B5151" t="s">
        <v>3367</v>
      </c>
      <c r="C5151">
        <v>0</v>
      </c>
      <c r="D5151">
        <v>0</v>
      </c>
      <c r="E5151">
        <v>0</v>
      </c>
      <c r="F5151">
        <v>0</v>
      </c>
      <c r="G5151">
        <v>0</v>
      </c>
      <c r="H5151">
        <v>0</v>
      </c>
      <c r="I5151" t="s">
        <v>22</v>
      </c>
      <c r="J5151" t="s">
        <v>22</v>
      </c>
    </row>
    <row r="5152" spans="1:10" x14ac:dyDescent="0.25">
      <c r="A5152" t="s">
        <v>3368</v>
      </c>
      <c r="B5152" t="s">
        <v>3369</v>
      </c>
      <c r="C5152" s="2">
        <v>450000</v>
      </c>
      <c r="D5152" s="2">
        <v>465000</v>
      </c>
      <c r="E5152">
        <v>0</v>
      </c>
      <c r="F5152">
        <v>0</v>
      </c>
      <c r="G5152">
        <v>0</v>
      </c>
      <c r="H5152">
        <v>0</v>
      </c>
      <c r="I5152" t="s">
        <v>22</v>
      </c>
      <c r="J5152" t="s">
        <v>22</v>
      </c>
    </row>
    <row r="5153" spans="1:10" x14ac:dyDescent="0.25">
      <c r="A5153" t="s">
        <v>3370</v>
      </c>
      <c r="B5153" t="s">
        <v>3371</v>
      </c>
      <c r="C5153" s="2">
        <v>20700</v>
      </c>
      <c r="D5153" s="2">
        <v>6975</v>
      </c>
      <c r="E5153">
        <v>0</v>
      </c>
      <c r="F5153">
        <v>0</v>
      </c>
      <c r="G5153">
        <v>0</v>
      </c>
      <c r="H5153">
        <v>0</v>
      </c>
      <c r="I5153" t="s">
        <v>22</v>
      </c>
      <c r="J5153" t="s">
        <v>22</v>
      </c>
    </row>
    <row r="5154" spans="1:10" x14ac:dyDescent="0.25">
      <c r="A5154" t="s">
        <v>3372</v>
      </c>
      <c r="B5154" t="s">
        <v>3373</v>
      </c>
      <c r="C5154" s="2">
        <v>30000</v>
      </c>
      <c r="D5154" s="2">
        <v>30000</v>
      </c>
      <c r="E5154" s="2">
        <v>110000</v>
      </c>
      <c r="F5154" s="2">
        <v>110000</v>
      </c>
      <c r="G5154" s="2">
        <v>110000</v>
      </c>
      <c r="H5154">
        <v>0</v>
      </c>
      <c r="I5154" t="s">
        <v>22</v>
      </c>
      <c r="J5154" t="s">
        <v>22</v>
      </c>
    </row>
    <row r="5155" spans="1:10" x14ac:dyDescent="0.25">
      <c r="A5155" t="s">
        <v>3374</v>
      </c>
      <c r="B5155" t="s">
        <v>3375</v>
      </c>
      <c r="C5155" s="2">
        <v>302275</v>
      </c>
      <c r="D5155" s="2">
        <v>301375</v>
      </c>
      <c r="E5155" s="2">
        <v>299275</v>
      </c>
      <c r="F5155" s="2">
        <v>295425</v>
      </c>
      <c r="G5155" s="2">
        <v>148813</v>
      </c>
      <c r="H5155">
        <v>0</v>
      </c>
      <c r="I5155" t="s">
        <v>22</v>
      </c>
      <c r="J5155" t="s">
        <v>22</v>
      </c>
    </row>
    <row r="5156" spans="1:10" x14ac:dyDescent="0.25">
      <c r="A5156" t="s">
        <v>3376</v>
      </c>
      <c r="B5156" t="s">
        <v>3377</v>
      </c>
      <c r="C5156" s="2">
        <v>40000</v>
      </c>
      <c r="D5156" s="2">
        <v>40000</v>
      </c>
      <c r="E5156" s="2">
        <v>440000</v>
      </c>
      <c r="F5156" s="2">
        <v>460000</v>
      </c>
      <c r="G5156" s="2">
        <v>460000</v>
      </c>
      <c r="H5156">
        <v>0</v>
      </c>
      <c r="I5156" t="s">
        <v>22</v>
      </c>
      <c r="J5156" t="s">
        <v>22</v>
      </c>
    </row>
    <row r="5157" spans="1:10" x14ac:dyDescent="0.25">
      <c r="A5157" t="s">
        <v>3378</v>
      </c>
      <c r="B5157" t="s">
        <v>3379</v>
      </c>
      <c r="C5157" s="2">
        <v>263800</v>
      </c>
      <c r="D5157" s="2">
        <v>262200</v>
      </c>
      <c r="E5157" s="2">
        <v>252600</v>
      </c>
      <c r="F5157" s="2">
        <v>234600</v>
      </c>
      <c r="G5157" s="2">
        <v>121900</v>
      </c>
      <c r="H5157">
        <v>0</v>
      </c>
      <c r="I5157" t="s">
        <v>22</v>
      </c>
      <c r="J5157" t="s">
        <v>22</v>
      </c>
    </row>
    <row r="5158" spans="1:10" x14ac:dyDescent="0.25">
      <c r="A5158" t="s">
        <v>3380</v>
      </c>
      <c r="B5158" t="s">
        <v>3381</v>
      </c>
      <c r="C5158">
        <v>0</v>
      </c>
      <c r="D5158">
        <v>0</v>
      </c>
      <c r="E5158">
        <v>0</v>
      </c>
      <c r="F5158">
        <v>0</v>
      </c>
      <c r="G5158">
        <v>0</v>
      </c>
      <c r="H5158">
        <v>0</v>
      </c>
      <c r="I5158" t="s">
        <v>22</v>
      </c>
      <c r="J5158" t="s">
        <v>22</v>
      </c>
    </row>
    <row r="5159" spans="1:10" x14ac:dyDescent="0.25">
      <c r="A5159" t="s">
        <v>3382</v>
      </c>
      <c r="B5159" t="s">
        <v>3383</v>
      </c>
      <c r="C5159">
        <v>0</v>
      </c>
      <c r="D5159">
        <v>0</v>
      </c>
      <c r="E5159">
        <v>0</v>
      </c>
      <c r="F5159">
        <v>0</v>
      </c>
      <c r="G5159">
        <v>0</v>
      </c>
      <c r="H5159">
        <v>0</v>
      </c>
      <c r="I5159" t="s">
        <v>22</v>
      </c>
      <c r="J5159" t="s">
        <v>22</v>
      </c>
    </row>
    <row r="5160" spans="1:10" x14ac:dyDescent="0.25">
      <c r="A5160" t="s">
        <v>3384</v>
      </c>
      <c r="B5160" t="s">
        <v>3385</v>
      </c>
      <c r="C5160">
        <v>0</v>
      </c>
      <c r="D5160">
        <v>0</v>
      </c>
      <c r="E5160">
        <v>0</v>
      </c>
      <c r="F5160">
        <v>0</v>
      </c>
      <c r="G5160">
        <v>0</v>
      </c>
      <c r="H5160">
        <v>0</v>
      </c>
      <c r="I5160" t="s">
        <v>22</v>
      </c>
      <c r="J5160" t="s">
        <v>22</v>
      </c>
    </row>
    <row r="5161" spans="1:10" x14ac:dyDescent="0.25">
      <c r="A5161" t="s">
        <v>3386</v>
      </c>
      <c r="B5161" t="s">
        <v>3387</v>
      </c>
      <c r="C5161">
        <v>0</v>
      </c>
      <c r="D5161">
        <v>0</v>
      </c>
      <c r="E5161">
        <v>0</v>
      </c>
      <c r="F5161">
        <v>0</v>
      </c>
      <c r="G5161">
        <v>0</v>
      </c>
      <c r="H5161">
        <v>0</v>
      </c>
      <c r="I5161" t="s">
        <v>22</v>
      </c>
      <c r="J5161" t="s">
        <v>22</v>
      </c>
    </row>
    <row r="5162" spans="1:10" x14ac:dyDescent="0.25">
      <c r="A5162" t="s">
        <v>3388</v>
      </c>
      <c r="B5162" t="s">
        <v>3389</v>
      </c>
      <c r="C5162" s="2">
        <v>100000</v>
      </c>
      <c r="D5162" s="2">
        <v>105000</v>
      </c>
      <c r="E5162" s="2">
        <v>100000</v>
      </c>
      <c r="F5162" s="2">
        <v>100000</v>
      </c>
      <c r="G5162" s="2">
        <v>100000</v>
      </c>
      <c r="H5162">
        <v>0</v>
      </c>
      <c r="I5162" t="s">
        <v>22</v>
      </c>
      <c r="J5162" t="s">
        <v>22</v>
      </c>
    </row>
    <row r="5163" spans="1:10" x14ac:dyDescent="0.25">
      <c r="A5163" t="s">
        <v>2603</v>
      </c>
      <c r="B5163" t="s">
        <v>2604</v>
      </c>
      <c r="C5163" s="2">
        <v>63250</v>
      </c>
      <c r="D5163" s="2">
        <v>60175</v>
      </c>
      <c r="E5163" s="2">
        <v>57100</v>
      </c>
      <c r="F5163" s="2">
        <v>54100</v>
      </c>
      <c r="G5163" s="2">
        <v>27800</v>
      </c>
      <c r="H5163">
        <v>0</v>
      </c>
      <c r="I5163" t="s">
        <v>22</v>
      </c>
      <c r="J5163" t="s">
        <v>22</v>
      </c>
    </row>
    <row r="5164" spans="1:10" x14ac:dyDescent="0.25">
      <c r="A5164" t="s">
        <v>3390</v>
      </c>
      <c r="B5164" t="s">
        <v>3391</v>
      </c>
      <c r="C5164" s="2">
        <v>175000</v>
      </c>
      <c r="D5164" s="2">
        <v>180000</v>
      </c>
      <c r="E5164" s="2">
        <v>195000</v>
      </c>
      <c r="F5164" s="2">
        <v>200000</v>
      </c>
      <c r="G5164" s="2">
        <v>200000</v>
      </c>
      <c r="H5164">
        <v>0</v>
      </c>
      <c r="I5164" t="s">
        <v>22</v>
      </c>
      <c r="J5164" t="s">
        <v>22</v>
      </c>
    </row>
    <row r="5165" spans="1:10" x14ac:dyDescent="0.25">
      <c r="A5165" t="s">
        <v>2605</v>
      </c>
      <c r="B5165" t="s">
        <v>2606</v>
      </c>
      <c r="C5165" s="2">
        <v>122007</v>
      </c>
      <c r="D5165" s="2">
        <v>117912</v>
      </c>
      <c r="E5165" s="2">
        <v>112956</v>
      </c>
      <c r="F5165" s="2">
        <v>107297</v>
      </c>
      <c r="G5165" s="2">
        <v>55094</v>
      </c>
      <c r="H5165">
        <v>0</v>
      </c>
      <c r="I5165" t="s">
        <v>22</v>
      </c>
      <c r="J5165" t="s">
        <v>22</v>
      </c>
    </row>
    <row r="5166" spans="1:10" x14ac:dyDescent="0.25">
      <c r="A5166" t="s">
        <v>3392</v>
      </c>
      <c r="B5166" t="s">
        <v>3393</v>
      </c>
      <c r="C5166" s="2">
        <v>245000</v>
      </c>
      <c r="D5166" s="2">
        <v>255000</v>
      </c>
      <c r="E5166" s="2">
        <v>260000</v>
      </c>
      <c r="F5166" s="2">
        <v>270000</v>
      </c>
      <c r="G5166" s="2">
        <v>270000</v>
      </c>
      <c r="H5166">
        <v>0</v>
      </c>
      <c r="I5166" t="s">
        <v>22</v>
      </c>
      <c r="J5166" t="s">
        <v>22</v>
      </c>
    </row>
    <row r="5167" spans="1:10" x14ac:dyDescent="0.25">
      <c r="A5167" t="s">
        <v>2607</v>
      </c>
      <c r="B5167" t="s">
        <v>2608</v>
      </c>
      <c r="C5167" s="2">
        <v>244363</v>
      </c>
      <c r="D5167" s="2">
        <v>236863</v>
      </c>
      <c r="E5167" s="2">
        <v>227838</v>
      </c>
      <c r="F5167" s="2">
        <v>217238</v>
      </c>
      <c r="G5167" s="2">
        <v>111319</v>
      </c>
      <c r="H5167">
        <v>0</v>
      </c>
      <c r="I5167" t="s">
        <v>22</v>
      </c>
      <c r="J5167" t="s">
        <v>22</v>
      </c>
    </row>
    <row r="5168" spans="1:10" x14ac:dyDescent="0.25">
      <c r="A5168" t="s">
        <v>3394</v>
      </c>
      <c r="B5168" t="s">
        <v>3395</v>
      </c>
      <c r="C5168">
        <v>0</v>
      </c>
      <c r="D5168">
        <v>0</v>
      </c>
      <c r="E5168">
        <v>0</v>
      </c>
      <c r="F5168" s="2">
        <v>100000</v>
      </c>
      <c r="G5168" s="2">
        <v>100000</v>
      </c>
      <c r="H5168">
        <v>0</v>
      </c>
      <c r="I5168" t="s">
        <v>22</v>
      </c>
      <c r="J5168" t="s">
        <v>22</v>
      </c>
    </row>
    <row r="5169" spans="1:10" x14ac:dyDescent="0.25">
      <c r="A5169" t="s">
        <v>3396</v>
      </c>
      <c r="B5169" t="s">
        <v>3397</v>
      </c>
      <c r="C5169">
        <v>0</v>
      </c>
      <c r="D5169">
        <v>0</v>
      </c>
      <c r="E5169">
        <v>0</v>
      </c>
      <c r="F5169" s="2">
        <v>1720763</v>
      </c>
      <c r="G5169" s="2">
        <v>1142387</v>
      </c>
      <c r="H5169">
        <v>0</v>
      </c>
      <c r="I5169" t="s">
        <v>22</v>
      </c>
      <c r="J5169" t="s">
        <v>22</v>
      </c>
    </row>
    <row r="5170" spans="1:10" x14ac:dyDescent="0.25">
      <c r="A5170" t="s">
        <v>3398</v>
      </c>
      <c r="B5170" t="s">
        <v>3321</v>
      </c>
      <c r="C5170">
        <v>0</v>
      </c>
      <c r="D5170">
        <v>0</v>
      </c>
      <c r="E5170">
        <v>0</v>
      </c>
      <c r="F5170">
        <v>0</v>
      </c>
      <c r="G5170">
        <v>0</v>
      </c>
      <c r="H5170">
        <v>0</v>
      </c>
      <c r="I5170" t="s">
        <v>22</v>
      </c>
      <c r="J5170" t="s">
        <v>22</v>
      </c>
    </row>
    <row r="5171" spans="1:10" x14ac:dyDescent="0.25">
      <c r="C5171" t="s">
        <v>108</v>
      </c>
      <c r="D5171" t="s">
        <v>108</v>
      </c>
      <c r="E5171" t="s">
        <v>108</v>
      </c>
      <c r="F5171" t="s">
        <v>108</v>
      </c>
      <c r="G5171" t="s">
        <v>108</v>
      </c>
    </row>
    <row r="5172" spans="1:10" x14ac:dyDescent="0.25">
      <c r="H5172" t="s">
        <v>22</v>
      </c>
      <c r="I5172" t="s">
        <v>22</v>
      </c>
      <c r="J5172" t="s">
        <v>22</v>
      </c>
    </row>
    <row r="5173" spans="1:10" x14ac:dyDescent="0.25">
      <c r="A5173" t="s">
        <v>109</v>
      </c>
    </row>
    <row r="5174" spans="1:10" x14ac:dyDescent="0.25">
      <c r="B5174" t="s">
        <v>530</v>
      </c>
      <c r="C5174" s="2">
        <v>2676629</v>
      </c>
      <c r="D5174" s="2">
        <v>2679357</v>
      </c>
      <c r="E5174" s="2">
        <v>2676372</v>
      </c>
      <c r="F5174" s="2">
        <v>4493772</v>
      </c>
      <c r="G5174" s="2">
        <v>3444678</v>
      </c>
      <c r="H5174">
        <v>0</v>
      </c>
    </row>
    <row r="5175" spans="1:10" x14ac:dyDescent="0.25">
      <c r="A5175" t="s">
        <v>18</v>
      </c>
      <c r="B5175" t="s">
        <v>19</v>
      </c>
      <c r="C5175" t="s">
        <v>20</v>
      </c>
      <c r="D5175" t="s">
        <v>21</v>
      </c>
      <c r="E5175" t="s">
        <v>26</v>
      </c>
    </row>
    <row r="5176" spans="1:10" x14ac:dyDescent="0.25">
      <c r="E5176" t="s">
        <v>339</v>
      </c>
      <c r="F5176" t="s">
        <v>23</v>
      </c>
      <c r="G5176" t="s">
        <v>24</v>
      </c>
      <c r="H5176" t="s">
        <v>20</v>
      </c>
      <c r="I5176" t="s">
        <v>24</v>
      </c>
      <c r="J5176" t="s">
        <v>20</v>
      </c>
    </row>
    <row r="5177" spans="1:10" x14ac:dyDescent="0.25">
      <c r="A5177" t="s">
        <v>109</v>
      </c>
    </row>
    <row r="5178" spans="1:10" x14ac:dyDescent="0.25">
      <c r="A5178">
        <v>85</v>
      </c>
      <c r="B5178" t="e">
        <f>-AD VALOREM &amp; OTHER</f>
        <v>#NAME?</v>
      </c>
      <c r="C5178" s="2">
        <v>2679279</v>
      </c>
      <c r="D5178" s="2">
        <v>2682357</v>
      </c>
      <c r="E5178" s="2">
        <v>2688672</v>
      </c>
      <c r="F5178" s="2">
        <v>4501772</v>
      </c>
      <c r="G5178" s="2">
        <v>3447228</v>
      </c>
      <c r="H5178">
        <v>0</v>
      </c>
    </row>
    <row r="5179" spans="1:10" x14ac:dyDescent="0.25">
      <c r="A5179" t="s">
        <v>18</v>
      </c>
      <c r="B5179" t="s">
        <v>19</v>
      </c>
      <c r="C5179" t="s">
        <v>20</v>
      </c>
      <c r="D5179" t="s">
        <v>21</v>
      </c>
      <c r="E5179" t="s">
        <v>26</v>
      </c>
    </row>
    <row r="5180" spans="1:10" x14ac:dyDescent="0.25">
      <c r="E5180" t="s">
        <v>339</v>
      </c>
      <c r="F5180" t="s">
        <v>23</v>
      </c>
      <c r="G5180" t="s">
        <v>24</v>
      </c>
      <c r="H5180" t="s">
        <v>20</v>
      </c>
      <c r="I5180" t="s">
        <v>24</v>
      </c>
      <c r="J5180" t="s">
        <v>20</v>
      </c>
    </row>
    <row r="5182" spans="1:10" x14ac:dyDescent="0.25">
      <c r="A5182" t="s">
        <v>1609</v>
      </c>
      <c r="B5182" t="s">
        <v>1610</v>
      </c>
      <c r="C5182" s="2">
        <v>2679279</v>
      </c>
      <c r="D5182" s="2">
        <v>2682357</v>
      </c>
      <c r="E5182" s="2">
        <v>2688672</v>
      </c>
      <c r="F5182" s="2">
        <v>4501772</v>
      </c>
      <c r="G5182" s="2">
        <v>3447228</v>
      </c>
      <c r="H5182">
        <v>0</v>
      </c>
    </row>
    <row r="5184" spans="1:10" x14ac:dyDescent="0.25">
      <c r="A5184" t="s">
        <v>1611</v>
      </c>
      <c r="B5184" t="s">
        <v>1612</v>
      </c>
      <c r="C5184" s="2">
        <v>22556</v>
      </c>
      <c r="D5184" s="2">
        <v>125901</v>
      </c>
      <c r="E5184" s="2">
        <v>107154</v>
      </c>
      <c r="F5184" s="2">
        <v>34376</v>
      </c>
      <c r="G5184" s="2">
        <v>1026340</v>
      </c>
      <c r="H5184">
        <v>0</v>
      </c>
    </row>
    <row r="5187" spans="1:10" x14ac:dyDescent="0.25">
      <c r="A5187" t="s">
        <v>1613</v>
      </c>
      <c r="B5187" t="s">
        <v>1614</v>
      </c>
    </row>
    <row r="5188" spans="1:10" x14ac:dyDescent="0.25">
      <c r="A5188" t="s">
        <v>18</v>
      </c>
      <c r="B5188" t="s">
        <v>19</v>
      </c>
      <c r="C5188" t="s">
        <v>20</v>
      </c>
      <c r="D5188" t="s">
        <v>21</v>
      </c>
      <c r="E5188" t="s">
        <v>26</v>
      </c>
    </row>
    <row r="5189" spans="1:10" x14ac:dyDescent="0.25">
      <c r="E5189" t="s">
        <v>339</v>
      </c>
      <c r="F5189" t="s">
        <v>23</v>
      </c>
      <c r="G5189" t="s">
        <v>24</v>
      </c>
      <c r="H5189" t="s">
        <v>20</v>
      </c>
      <c r="I5189" t="s">
        <v>24</v>
      </c>
      <c r="J5189" t="s">
        <v>20</v>
      </c>
    </row>
    <row r="5191" spans="1:10" x14ac:dyDescent="0.25">
      <c r="A5191" t="s">
        <v>383</v>
      </c>
      <c r="B5191" t="s">
        <v>384</v>
      </c>
      <c r="C5191">
        <v>0</v>
      </c>
      <c r="D5191">
        <v>0</v>
      </c>
      <c r="E5191">
        <v>0</v>
      </c>
      <c r="F5191">
        <v>0</v>
      </c>
      <c r="G5191">
        <v>0</v>
      </c>
      <c r="H5191">
        <v>0</v>
      </c>
    </row>
    <row r="5192" spans="1:10" x14ac:dyDescent="0.25">
      <c r="A5192" t="s">
        <v>110</v>
      </c>
    </row>
    <row r="5193" spans="1:10" x14ac:dyDescent="0.25">
      <c r="A5193" s="1">
        <v>43991</v>
      </c>
      <c r="B5193" t="s">
        <v>1615</v>
      </c>
      <c r="D5193" t="s">
        <v>112</v>
      </c>
      <c r="E5193" t="s">
        <v>113</v>
      </c>
      <c r="F5193" t="s">
        <v>114</v>
      </c>
      <c r="J5193" t="s">
        <v>1616</v>
      </c>
    </row>
    <row r="5194" spans="1:10" x14ac:dyDescent="0.25">
      <c r="D5194" t="s">
        <v>116</v>
      </c>
      <c r="E5194" t="s">
        <v>117</v>
      </c>
      <c r="F5194" t="s">
        <v>118</v>
      </c>
    </row>
    <row r="5195" spans="1:10" x14ac:dyDescent="0.25">
      <c r="D5195" t="s">
        <v>119</v>
      </c>
      <c r="E5195" t="s">
        <v>120</v>
      </c>
      <c r="F5195" t="s">
        <v>121</v>
      </c>
    </row>
    <row r="5196" spans="1:10" x14ac:dyDescent="0.25">
      <c r="A5196" t="s">
        <v>3399</v>
      </c>
      <c r="B5196" t="s">
        <v>3400</v>
      </c>
    </row>
    <row r="5197" spans="1:10" x14ac:dyDescent="0.25">
      <c r="A5197" t="s">
        <v>386</v>
      </c>
    </row>
    <row r="5198" spans="1:10" x14ac:dyDescent="0.25">
      <c r="F5198" t="s">
        <v>2</v>
      </c>
      <c r="G5198" t="s">
        <v>3</v>
      </c>
      <c r="H5198" t="s">
        <v>4</v>
      </c>
      <c r="I5198" t="s">
        <v>5</v>
      </c>
      <c r="J5198" t="s">
        <v>6</v>
      </c>
    </row>
    <row r="5199" spans="1:10" x14ac:dyDescent="0.25">
      <c r="C5199" t="s">
        <v>7</v>
      </c>
      <c r="D5199" t="s">
        <v>8</v>
      </c>
      <c r="E5199" t="s">
        <v>9</v>
      </c>
      <c r="F5199" t="s">
        <v>10</v>
      </c>
      <c r="G5199" t="s">
        <v>124</v>
      </c>
      <c r="H5199" t="s">
        <v>12</v>
      </c>
      <c r="I5199" t="s">
        <v>13</v>
      </c>
      <c r="J5199" t="s">
        <v>14</v>
      </c>
    </row>
    <row r="5200" spans="1:10" x14ac:dyDescent="0.25">
      <c r="C5200" t="s">
        <v>15</v>
      </c>
      <c r="D5200" t="s">
        <v>15</v>
      </c>
      <c r="E5200" t="s">
        <v>15</v>
      </c>
      <c r="F5200" t="s">
        <v>16</v>
      </c>
      <c r="G5200" t="s">
        <v>15</v>
      </c>
      <c r="H5200" t="s">
        <v>17</v>
      </c>
      <c r="I5200" t="s">
        <v>16</v>
      </c>
      <c r="J5200" t="s">
        <v>16</v>
      </c>
    </row>
    <row r="5201" spans="1:10" x14ac:dyDescent="0.25">
      <c r="A5201" t="s">
        <v>18</v>
      </c>
      <c r="B5201" t="s">
        <v>19</v>
      </c>
      <c r="C5201" t="s">
        <v>20</v>
      </c>
      <c r="D5201" t="s">
        <v>21</v>
      </c>
      <c r="E5201" t="s">
        <v>22</v>
      </c>
      <c r="F5201" t="s">
        <v>23</v>
      </c>
      <c r="G5201" t="s">
        <v>24</v>
      </c>
      <c r="H5201" t="s">
        <v>20</v>
      </c>
      <c r="I5201" t="s">
        <v>24</v>
      </c>
      <c r="J5201" t="s">
        <v>20</v>
      </c>
    </row>
    <row r="5203" spans="1:10" x14ac:dyDescent="0.25">
      <c r="A5203" t="s">
        <v>18</v>
      </c>
      <c r="B5203" t="s">
        <v>19</v>
      </c>
      <c r="C5203" t="s">
        <v>20</v>
      </c>
      <c r="D5203" t="s">
        <v>21</v>
      </c>
      <c r="E5203" t="s">
        <v>26</v>
      </c>
    </row>
    <row r="5204" spans="1:10" x14ac:dyDescent="0.25">
      <c r="E5204" t="s">
        <v>339</v>
      </c>
      <c r="F5204" t="s">
        <v>23</v>
      </c>
      <c r="G5204" t="s">
        <v>24</v>
      </c>
      <c r="H5204" t="s">
        <v>20</v>
      </c>
      <c r="I5204" t="s">
        <v>24</v>
      </c>
      <c r="J5204" t="s">
        <v>20</v>
      </c>
    </row>
    <row r="5206" spans="1:10" x14ac:dyDescent="0.25">
      <c r="A5206" t="s">
        <v>1609</v>
      </c>
      <c r="B5206" t="s">
        <v>1610</v>
      </c>
      <c r="C5206">
        <v>0</v>
      </c>
      <c r="D5206">
        <v>0</v>
      </c>
      <c r="E5206">
        <v>0</v>
      </c>
      <c r="F5206">
        <v>0</v>
      </c>
      <c r="G5206">
        <v>0</v>
      </c>
      <c r="H5206">
        <v>0</v>
      </c>
    </row>
    <row r="5208" spans="1:10" x14ac:dyDescent="0.25">
      <c r="A5208" t="s">
        <v>1611</v>
      </c>
      <c r="B5208" t="s">
        <v>1612</v>
      </c>
      <c r="C5208">
        <v>0</v>
      </c>
      <c r="D5208">
        <v>0</v>
      </c>
      <c r="E5208">
        <v>0</v>
      </c>
      <c r="F5208">
        <v>0</v>
      </c>
      <c r="G5208">
        <v>0</v>
      </c>
      <c r="H5208">
        <v>0</v>
      </c>
    </row>
    <row r="5211" spans="1:10" x14ac:dyDescent="0.25">
      <c r="A5211" t="s">
        <v>1613</v>
      </c>
      <c r="B5211" t="s">
        <v>1614</v>
      </c>
    </row>
    <row r="5212" spans="1:10" x14ac:dyDescent="0.25">
      <c r="A5212" t="s">
        <v>18</v>
      </c>
      <c r="B5212" t="s">
        <v>19</v>
      </c>
      <c r="C5212" t="s">
        <v>20</v>
      </c>
      <c r="D5212" t="s">
        <v>21</v>
      </c>
      <c r="E5212" t="s">
        <v>26</v>
      </c>
    </row>
    <row r="5213" spans="1:10" x14ac:dyDescent="0.25">
      <c r="E5213" t="s">
        <v>339</v>
      </c>
      <c r="F5213" t="s">
        <v>23</v>
      </c>
      <c r="G5213" t="s">
        <v>24</v>
      </c>
      <c r="H5213" t="s">
        <v>20</v>
      </c>
      <c r="I5213" t="s">
        <v>24</v>
      </c>
      <c r="J5213" t="s">
        <v>20</v>
      </c>
    </row>
    <row r="5215" spans="1:10" x14ac:dyDescent="0.25">
      <c r="A5215" t="s">
        <v>383</v>
      </c>
      <c r="B5215" t="s">
        <v>384</v>
      </c>
      <c r="C5215">
        <v>0</v>
      </c>
      <c r="D5215">
        <v>0</v>
      </c>
      <c r="E5215">
        <v>0</v>
      </c>
      <c r="F5215">
        <v>0</v>
      </c>
      <c r="G5215">
        <v>0</v>
      </c>
      <c r="H5215">
        <v>0</v>
      </c>
    </row>
    <row r="5216" spans="1:10" x14ac:dyDescent="0.25">
      <c r="A5216" t="s">
        <v>110</v>
      </c>
    </row>
    <row r="5217" spans="1:10" x14ac:dyDescent="0.25">
      <c r="A5217" s="1">
        <v>43991</v>
      </c>
      <c r="B5217" t="s">
        <v>1615</v>
      </c>
      <c r="D5217" t="s">
        <v>112</v>
      </c>
      <c r="E5217" t="s">
        <v>113</v>
      </c>
      <c r="F5217" t="s">
        <v>114</v>
      </c>
      <c r="J5217" t="s">
        <v>1616</v>
      </c>
    </row>
    <row r="5218" spans="1:10" x14ac:dyDescent="0.25">
      <c r="D5218" t="s">
        <v>116</v>
      </c>
      <c r="E5218" t="s">
        <v>117</v>
      </c>
      <c r="F5218" t="s">
        <v>118</v>
      </c>
    </row>
    <row r="5219" spans="1:10" x14ac:dyDescent="0.25">
      <c r="D5219" t="s">
        <v>119</v>
      </c>
      <c r="E5219" t="s">
        <v>120</v>
      </c>
      <c r="F5219" t="s">
        <v>121</v>
      </c>
    </row>
    <row r="5220" spans="1:10" x14ac:dyDescent="0.25">
      <c r="A5220" t="s">
        <v>3401</v>
      </c>
      <c r="B5220" t="s">
        <v>3402</v>
      </c>
    </row>
    <row r="5221" spans="1:10" x14ac:dyDescent="0.25">
      <c r="A5221" t="s">
        <v>386</v>
      </c>
    </row>
    <row r="5222" spans="1:10" x14ac:dyDescent="0.25">
      <c r="F5222" t="s">
        <v>2</v>
      </c>
      <c r="G5222" t="s">
        <v>3</v>
      </c>
      <c r="H5222" t="s">
        <v>4</v>
      </c>
      <c r="I5222" t="s">
        <v>5</v>
      </c>
      <c r="J5222" t="s">
        <v>6</v>
      </c>
    </row>
    <row r="5223" spans="1:10" x14ac:dyDescent="0.25">
      <c r="C5223" t="s">
        <v>7</v>
      </c>
      <c r="D5223" t="s">
        <v>8</v>
      </c>
      <c r="E5223" t="s">
        <v>9</v>
      </c>
      <c r="F5223" t="s">
        <v>10</v>
      </c>
      <c r="G5223" t="s">
        <v>124</v>
      </c>
      <c r="H5223" t="s">
        <v>12</v>
      </c>
      <c r="I5223" t="s">
        <v>13</v>
      </c>
      <c r="J5223" t="s">
        <v>14</v>
      </c>
    </row>
    <row r="5224" spans="1:10" x14ac:dyDescent="0.25">
      <c r="C5224" t="s">
        <v>15</v>
      </c>
      <c r="D5224" t="s">
        <v>15</v>
      </c>
      <c r="E5224" t="s">
        <v>15</v>
      </c>
      <c r="F5224" t="s">
        <v>16</v>
      </c>
      <c r="G5224" t="s">
        <v>15</v>
      </c>
      <c r="H5224" t="s">
        <v>17</v>
      </c>
      <c r="I5224" t="s">
        <v>16</v>
      </c>
      <c r="J5224" t="s">
        <v>16</v>
      </c>
    </row>
    <row r="5225" spans="1:10" x14ac:dyDescent="0.25">
      <c r="A5225" t="s">
        <v>18</v>
      </c>
      <c r="B5225" t="s">
        <v>19</v>
      </c>
      <c r="C5225" t="s">
        <v>20</v>
      </c>
      <c r="D5225" t="s">
        <v>21</v>
      </c>
      <c r="E5225" t="s">
        <v>22</v>
      </c>
      <c r="F5225" t="s">
        <v>23</v>
      </c>
      <c r="G5225" t="s">
        <v>24</v>
      </c>
      <c r="H5225" t="s">
        <v>20</v>
      </c>
      <c r="I5225" t="s">
        <v>24</v>
      </c>
      <c r="J5225" t="s">
        <v>20</v>
      </c>
    </row>
    <row r="5227" spans="1:10" x14ac:dyDescent="0.25">
      <c r="A5227" t="s">
        <v>18</v>
      </c>
      <c r="B5227" t="s">
        <v>19</v>
      </c>
      <c r="C5227" t="s">
        <v>20</v>
      </c>
      <c r="D5227" t="s">
        <v>21</v>
      </c>
      <c r="E5227" t="s">
        <v>26</v>
      </c>
    </row>
    <row r="5228" spans="1:10" x14ac:dyDescent="0.25">
      <c r="E5228" t="s">
        <v>339</v>
      </c>
      <c r="F5228" t="s">
        <v>23</v>
      </c>
      <c r="G5228" t="s">
        <v>24</v>
      </c>
      <c r="H5228" t="s">
        <v>20</v>
      </c>
      <c r="I5228" t="s">
        <v>24</v>
      </c>
      <c r="J5228" t="s">
        <v>20</v>
      </c>
    </row>
    <row r="5230" spans="1:10" x14ac:dyDescent="0.25">
      <c r="A5230" t="s">
        <v>1609</v>
      </c>
      <c r="B5230" t="s">
        <v>1610</v>
      </c>
      <c r="C5230">
        <v>0</v>
      </c>
      <c r="D5230">
        <v>0</v>
      </c>
      <c r="E5230">
        <v>0</v>
      </c>
      <c r="F5230">
        <v>0</v>
      </c>
      <c r="G5230">
        <v>0</v>
      </c>
      <c r="H5230">
        <v>0</v>
      </c>
    </row>
    <row r="5232" spans="1:10" x14ac:dyDescent="0.25">
      <c r="A5232" t="s">
        <v>1611</v>
      </c>
      <c r="B5232" t="s">
        <v>1612</v>
      </c>
      <c r="C5232">
        <v>0</v>
      </c>
      <c r="D5232">
        <v>0</v>
      </c>
      <c r="E5232">
        <v>0</v>
      </c>
      <c r="F5232">
        <v>0</v>
      </c>
      <c r="G5232">
        <v>0</v>
      </c>
      <c r="H5232">
        <v>0</v>
      </c>
    </row>
    <row r="5235" spans="1:10" x14ac:dyDescent="0.25">
      <c r="A5235" t="s">
        <v>1613</v>
      </c>
      <c r="B5235" t="s">
        <v>1614</v>
      </c>
    </row>
    <row r="5236" spans="1:10" x14ac:dyDescent="0.25">
      <c r="A5236" t="s">
        <v>18</v>
      </c>
      <c r="B5236" t="s">
        <v>19</v>
      </c>
      <c r="C5236" t="s">
        <v>20</v>
      </c>
      <c r="D5236" t="s">
        <v>21</v>
      </c>
      <c r="E5236" t="s">
        <v>26</v>
      </c>
    </row>
    <row r="5237" spans="1:10" x14ac:dyDescent="0.25">
      <c r="E5237" t="s">
        <v>339</v>
      </c>
      <c r="F5237" t="s">
        <v>23</v>
      </c>
      <c r="G5237" t="s">
        <v>24</v>
      </c>
      <c r="H5237" t="s">
        <v>20</v>
      </c>
      <c r="I5237" t="s">
        <v>24</v>
      </c>
      <c r="J5237" t="s">
        <v>20</v>
      </c>
    </row>
    <row r="5239" spans="1:10" x14ac:dyDescent="0.25">
      <c r="A5239" t="s">
        <v>383</v>
      </c>
      <c r="B5239" t="s">
        <v>384</v>
      </c>
      <c r="C5239">
        <v>0</v>
      </c>
      <c r="D5239">
        <v>0</v>
      </c>
      <c r="E5239">
        <v>0</v>
      </c>
      <c r="F5239">
        <v>0</v>
      </c>
      <c r="G5239">
        <v>0</v>
      </c>
      <c r="H5239">
        <v>0</v>
      </c>
    </row>
    <row r="5240" spans="1:10" x14ac:dyDescent="0.25">
      <c r="A5240" t="s">
        <v>110</v>
      </c>
    </row>
    <row r="5241" spans="1:10" x14ac:dyDescent="0.25">
      <c r="A5241" s="1">
        <v>43991</v>
      </c>
      <c r="B5241" t="s">
        <v>1615</v>
      </c>
      <c r="D5241" t="s">
        <v>112</v>
      </c>
      <c r="E5241" t="s">
        <v>113</v>
      </c>
      <c r="F5241" t="s">
        <v>114</v>
      </c>
      <c r="J5241" t="s">
        <v>1616</v>
      </c>
    </row>
    <row r="5242" spans="1:10" x14ac:dyDescent="0.25">
      <c r="D5242" t="s">
        <v>116</v>
      </c>
      <c r="E5242" t="s">
        <v>117</v>
      </c>
      <c r="F5242" t="s">
        <v>118</v>
      </c>
    </row>
    <row r="5243" spans="1:10" x14ac:dyDescent="0.25">
      <c r="D5243" t="s">
        <v>119</v>
      </c>
      <c r="E5243" t="s">
        <v>120</v>
      </c>
      <c r="F5243" t="s">
        <v>121</v>
      </c>
    </row>
    <row r="5244" spans="1:10" x14ac:dyDescent="0.25">
      <c r="A5244" t="s">
        <v>3403</v>
      </c>
      <c r="B5244" t="s">
        <v>3404</v>
      </c>
    </row>
    <row r="5245" spans="1:10" x14ac:dyDescent="0.25">
      <c r="A5245" t="s">
        <v>386</v>
      </c>
    </row>
    <row r="5246" spans="1:10" x14ac:dyDescent="0.25">
      <c r="F5246" t="s">
        <v>2</v>
      </c>
      <c r="G5246" t="s">
        <v>3</v>
      </c>
      <c r="H5246" t="s">
        <v>4</v>
      </c>
      <c r="I5246" t="s">
        <v>5</v>
      </c>
      <c r="J5246" t="s">
        <v>6</v>
      </c>
    </row>
    <row r="5247" spans="1:10" x14ac:dyDescent="0.25">
      <c r="C5247" t="s">
        <v>7</v>
      </c>
      <c r="D5247" t="s">
        <v>8</v>
      </c>
      <c r="E5247" t="s">
        <v>9</v>
      </c>
      <c r="F5247" t="s">
        <v>10</v>
      </c>
      <c r="G5247" t="s">
        <v>124</v>
      </c>
      <c r="H5247" t="s">
        <v>12</v>
      </c>
      <c r="I5247" t="s">
        <v>13</v>
      </c>
      <c r="J5247" t="s">
        <v>14</v>
      </c>
    </row>
    <row r="5248" spans="1:10" x14ac:dyDescent="0.25">
      <c r="C5248" t="s">
        <v>15</v>
      </c>
      <c r="D5248" t="s">
        <v>15</v>
      </c>
      <c r="E5248" t="s">
        <v>15</v>
      </c>
      <c r="F5248" t="s">
        <v>16</v>
      </c>
      <c r="G5248" t="s">
        <v>15</v>
      </c>
      <c r="H5248" t="s">
        <v>17</v>
      </c>
      <c r="I5248" t="s">
        <v>16</v>
      </c>
      <c r="J5248" t="s">
        <v>16</v>
      </c>
    </row>
    <row r="5249" spans="1:10" x14ac:dyDescent="0.25">
      <c r="A5249" t="s">
        <v>18</v>
      </c>
      <c r="B5249" t="s">
        <v>19</v>
      </c>
      <c r="C5249" t="s">
        <v>20</v>
      </c>
      <c r="D5249" t="s">
        <v>21</v>
      </c>
      <c r="E5249" t="s">
        <v>22</v>
      </c>
      <c r="F5249" t="s">
        <v>23</v>
      </c>
      <c r="G5249" t="s">
        <v>24</v>
      </c>
      <c r="H5249" t="s">
        <v>20</v>
      </c>
      <c r="I5249" t="s">
        <v>24</v>
      </c>
      <c r="J5249" t="s">
        <v>20</v>
      </c>
    </row>
    <row r="5251" spans="1:10" x14ac:dyDescent="0.25">
      <c r="A5251" t="s">
        <v>18</v>
      </c>
      <c r="B5251" t="s">
        <v>19</v>
      </c>
      <c r="C5251" t="s">
        <v>20</v>
      </c>
      <c r="D5251" t="s">
        <v>21</v>
      </c>
      <c r="E5251" t="s">
        <v>26</v>
      </c>
    </row>
    <row r="5252" spans="1:10" x14ac:dyDescent="0.25">
      <c r="E5252" t="s">
        <v>339</v>
      </c>
      <c r="F5252" t="s">
        <v>23</v>
      </c>
      <c r="G5252" t="s">
        <v>24</v>
      </c>
      <c r="H5252" t="s">
        <v>20</v>
      </c>
      <c r="I5252" t="s">
        <v>24</v>
      </c>
      <c r="J5252" t="s">
        <v>20</v>
      </c>
    </row>
    <row r="5254" spans="1:10" x14ac:dyDescent="0.25">
      <c r="A5254" t="s">
        <v>1609</v>
      </c>
      <c r="B5254" t="s">
        <v>1610</v>
      </c>
      <c r="C5254">
        <v>0</v>
      </c>
      <c r="D5254">
        <v>0</v>
      </c>
      <c r="E5254">
        <v>0</v>
      </c>
      <c r="F5254">
        <v>0</v>
      </c>
      <c r="G5254">
        <v>0</v>
      </c>
      <c r="H5254">
        <v>0</v>
      </c>
    </row>
    <row r="5256" spans="1:10" x14ac:dyDescent="0.25">
      <c r="A5256" t="s">
        <v>1611</v>
      </c>
      <c r="B5256" t="s">
        <v>1612</v>
      </c>
      <c r="C5256">
        <v>0</v>
      </c>
      <c r="D5256">
        <v>0</v>
      </c>
      <c r="E5256">
        <v>0</v>
      </c>
      <c r="F5256">
        <v>0</v>
      </c>
      <c r="G5256">
        <v>0</v>
      </c>
      <c r="H5256">
        <v>0</v>
      </c>
    </row>
    <row r="5259" spans="1:10" x14ac:dyDescent="0.25">
      <c r="A5259" t="s">
        <v>1613</v>
      </c>
      <c r="B5259" t="s">
        <v>1614</v>
      </c>
    </row>
    <row r="5260" spans="1:10" x14ac:dyDescent="0.25">
      <c r="A5260" t="s">
        <v>18</v>
      </c>
      <c r="B5260" t="s">
        <v>19</v>
      </c>
      <c r="C5260" t="s">
        <v>20</v>
      </c>
      <c r="D5260" t="s">
        <v>21</v>
      </c>
      <c r="E5260" t="s">
        <v>26</v>
      </c>
    </row>
    <row r="5261" spans="1:10" x14ac:dyDescent="0.25">
      <c r="E5261" t="s">
        <v>339</v>
      </c>
      <c r="F5261" t="s">
        <v>23</v>
      </c>
      <c r="G5261" t="s">
        <v>24</v>
      </c>
      <c r="H5261" t="s">
        <v>20</v>
      </c>
      <c r="I5261" t="s">
        <v>24</v>
      </c>
      <c r="J5261" t="s">
        <v>20</v>
      </c>
    </row>
    <row r="5263" spans="1:10" x14ac:dyDescent="0.25">
      <c r="A5263" t="s">
        <v>383</v>
      </c>
      <c r="B5263" t="s">
        <v>384</v>
      </c>
      <c r="C5263">
        <v>0</v>
      </c>
      <c r="D5263">
        <v>0</v>
      </c>
      <c r="E5263">
        <v>0</v>
      </c>
      <c r="F5263">
        <v>0</v>
      </c>
      <c r="G5263">
        <v>0</v>
      </c>
      <c r="H5263">
        <v>0</v>
      </c>
    </row>
    <row r="5264" spans="1:10" x14ac:dyDescent="0.25">
      <c r="A5264" t="s">
        <v>110</v>
      </c>
    </row>
    <row r="5265" spans="1:10" x14ac:dyDescent="0.25">
      <c r="A5265" s="1">
        <v>43991</v>
      </c>
      <c r="B5265" t="s">
        <v>1615</v>
      </c>
      <c r="D5265" t="s">
        <v>112</v>
      </c>
      <c r="E5265" t="s">
        <v>113</v>
      </c>
      <c r="F5265" t="s">
        <v>114</v>
      </c>
      <c r="J5265" t="s">
        <v>1616</v>
      </c>
    </row>
    <row r="5266" spans="1:10" x14ac:dyDescent="0.25">
      <c r="D5266" t="s">
        <v>116</v>
      </c>
      <c r="E5266" t="s">
        <v>117</v>
      </c>
      <c r="F5266" t="s">
        <v>118</v>
      </c>
    </row>
    <row r="5267" spans="1:10" x14ac:dyDescent="0.25">
      <c r="D5267" t="s">
        <v>119</v>
      </c>
      <c r="E5267" t="s">
        <v>120</v>
      </c>
      <c r="F5267" t="s">
        <v>121</v>
      </c>
    </row>
    <row r="5268" spans="1:10" x14ac:dyDescent="0.25">
      <c r="A5268" t="s">
        <v>3405</v>
      </c>
      <c r="B5268" t="s">
        <v>3406</v>
      </c>
    </row>
    <row r="5269" spans="1:10" x14ac:dyDescent="0.25">
      <c r="A5269" t="s">
        <v>386</v>
      </c>
    </row>
    <row r="5270" spans="1:10" x14ac:dyDescent="0.25">
      <c r="F5270" t="s">
        <v>2</v>
      </c>
      <c r="G5270" t="s">
        <v>3</v>
      </c>
      <c r="H5270" t="s">
        <v>4</v>
      </c>
      <c r="I5270" t="s">
        <v>5</v>
      </c>
      <c r="J5270" t="s">
        <v>6</v>
      </c>
    </row>
    <row r="5271" spans="1:10" x14ac:dyDescent="0.25">
      <c r="C5271" t="s">
        <v>7</v>
      </c>
      <c r="D5271" t="s">
        <v>8</v>
      </c>
      <c r="E5271" t="s">
        <v>9</v>
      </c>
      <c r="F5271" t="s">
        <v>10</v>
      </c>
      <c r="G5271" t="s">
        <v>124</v>
      </c>
      <c r="H5271" t="s">
        <v>12</v>
      </c>
      <c r="I5271" t="s">
        <v>13</v>
      </c>
      <c r="J5271" t="s">
        <v>14</v>
      </c>
    </row>
    <row r="5272" spans="1:10" x14ac:dyDescent="0.25">
      <c r="C5272" t="s">
        <v>15</v>
      </c>
      <c r="D5272" t="s">
        <v>15</v>
      </c>
      <c r="E5272" t="s">
        <v>15</v>
      </c>
      <c r="F5272" t="s">
        <v>16</v>
      </c>
      <c r="G5272" t="s">
        <v>15</v>
      </c>
      <c r="H5272" t="s">
        <v>17</v>
      </c>
      <c r="I5272" t="s">
        <v>16</v>
      </c>
      <c r="J5272" t="s">
        <v>16</v>
      </c>
    </row>
    <row r="5273" spans="1:10" x14ac:dyDescent="0.25">
      <c r="A5273" t="s">
        <v>18</v>
      </c>
      <c r="B5273" t="s">
        <v>19</v>
      </c>
      <c r="C5273" t="s">
        <v>20</v>
      </c>
      <c r="D5273" t="s">
        <v>21</v>
      </c>
      <c r="E5273" t="s">
        <v>22</v>
      </c>
      <c r="F5273" t="s">
        <v>23</v>
      </c>
      <c r="G5273" t="s">
        <v>24</v>
      </c>
      <c r="H5273" t="s">
        <v>20</v>
      </c>
      <c r="I5273" t="s">
        <v>24</v>
      </c>
      <c r="J5273" t="s">
        <v>20</v>
      </c>
    </row>
    <row r="5275" spans="1:10" x14ac:dyDescent="0.25">
      <c r="A5275" t="s">
        <v>18</v>
      </c>
      <c r="B5275" t="s">
        <v>19</v>
      </c>
      <c r="C5275" t="s">
        <v>20</v>
      </c>
      <c r="D5275" t="s">
        <v>21</v>
      </c>
      <c r="E5275" t="s">
        <v>26</v>
      </c>
    </row>
    <row r="5276" spans="1:10" x14ac:dyDescent="0.25">
      <c r="E5276" t="s">
        <v>339</v>
      </c>
      <c r="F5276" t="s">
        <v>23</v>
      </c>
      <c r="G5276" t="s">
        <v>24</v>
      </c>
      <c r="H5276" t="s">
        <v>20</v>
      </c>
      <c r="I5276" t="s">
        <v>24</v>
      </c>
      <c r="J5276" t="s">
        <v>20</v>
      </c>
    </row>
    <row r="5278" spans="1:10" x14ac:dyDescent="0.25">
      <c r="A5278" t="s">
        <v>1609</v>
      </c>
      <c r="B5278" t="s">
        <v>1610</v>
      </c>
      <c r="C5278">
        <v>0</v>
      </c>
      <c r="D5278">
        <v>0</v>
      </c>
      <c r="E5278">
        <v>0</v>
      </c>
      <c r="F5278">
        <v>0</v>
      </c>
      <c r="G5278">
        <v>0</v>
      </c>
      <c r="H5278">
        <v>0</v>
      </c>
    </row>
    <row r="5280" spans="1:10" x14ac:dyDescent="0.25">
      <c r="A5280" t="s">
        <v>1611</v>
      </c>
      <c r="B5280" t="s">
        <v>1612</v>
      </c>
      <c r="C5280">
        <v>0</v>
      </c>
      <c r="D5280">
        <v>0</v>
      </c>
      <c r="E5280">
        <v>0</v>
      </c>
      <c r="F5280">
        <v>0</v>
      </c>
      <c r="G5280">
        <v>0</v>
      </c>
      <c r="H5280">
        <v>0</v>
      </c>
    </row>
    <row r="5283" spans="1:10" x14ac:dyDescent="0.25">
      <c r="A5283" t="s">
        <v>1613</v>
      </c>
      <c r="B5283" t="s">
        <v>1614</v>
      </c>
    </row>
    <row r="5284" spans="1:10" x14ac:dyDescent="0.25">
      <c r="A5284" t="s">
        <v>18</v>
      </c>
      <c r="B5284" t="s">
        <v>19</v>
      </c>
      <c r="C5284" t="s">
        <v>20</v>
      </c>
      <c r="D5284" t="s">
        <v>21</v>
      </c>
      <c r="E5284" t="s">
        <v>26</v>
      </c>
    </row>
    <row r="5285" spans="1:10" x14ac:dyDescent="0.25">
      <c r="E5285" t="s">
        <v>339</v>
      </c>
      <c r="F5285" t="s">
        <v>23</v>
      </c>
      <c r="G5285" t="s">
        <v>24</v>
      </c>
      <c r="H5285" t="s">
        <v>20</v>
      </c>
      <c r="I5285" t="s">
        <v>24</v>
      </c>
      <c r="J5285" t="s">
        <v>20</v>
      </c>
    </row>
    <row r="5287" spans="1:10" x14ac:dyDescent="0.25">
      <c r="A5287" t="s">
        <v>383</v>
      </c>
      <c r="B5287" t="s">
        <v>384</v>
      </c>
      <c r="C5287">
        <v>0</v>
      </c>
      <c r="D5287">
        <v>0</v>
      </c>
      <c r="E5287">
        <v>0</v>
      </c>
      <c r="F5287">
        <v>0</v>
      </c>
      <c r="G5287">
        <v>0</v>
      </c>
      <c r="H5287">
        <v>0</v>
      </c>
    </row>
    <row r="5288" spans="1:10" x14ac:dyDescent="0.25">
      <c r="A5288" t="s">
        <v>110</v>
      </c>
    </row>
    <row r="5289" spans="1:10" x14ac:dyDescent="0.25">
      <c r="A5289" s="1">
        <v>43991</v>
      </c>
      <c r="B5289" t="s">
        <v>1615</v>
      </c>
      <c r="D5289" t="s">
        <v>112</v>
      </c>
      <c r="E5289" t="s">
        <v>113</v>
      </c>
      <c r="F5289" t="s">
        <v>114</v>
      </c>
      <c r="J5289" t="s">
        <v>1616</v>
      </c>
    </row>
    <row r="5290" spans="1:10" x14ac:dyDescent="0.25">
      <c r="D5290" t="s">
        <v>116</v>
      </c>
      <c r="E5290" t="s">
        <v>117</v>
      </c>
      <c r="F5290" t="s">
        <v>118</v>
      </c>
    </row>
    <row r="5291" spans="1:10" x14ac:dyDescent="0.25">
      <c r="D5291" t="s">
        <v>119</v>
      </c>
      <c r="E5291" t="s">
        <v>120</v>
      </c>
      <c r="F5291" t="s">
        <v>121</v>
      </c>
    </row>
    <row r="5292" spans="1:10" x14ac:dyDescent="0.25">
      <c r="A5292" t="s">
        <v>3407</v>
      </c>
      <c r="B5292" t="s">
        <v>3408</v>
      </c>
    </row>
    <row r="5293" spans="1:10" x14ac:dyDescent="0.25">
      <c r="A5293" t="s">
        <v>386</v>
      </c>
    </row>
    <row r="5294" spans="1:10" x14ac:dyDescent="0.25">
      <c r="F5294" t="s">
        <v>2</v>
      </c>
      <c r="G5294" t="s">
        <v>3</v>
      </c>
      <c r="H5294" t="s">
        <v>4</v>
      </c>
      <c r="I5294" t="s">
        <v>5</v>
      </c>
      <c r="J5294" t="s">
        <v>6</v>
      </c>
    </row>
    <row r="5295" spans="1:10" x14ac:dyDescent="0.25">
      <c r="C5295" t="s">
        <v>7</v>
      </c>
      <c r="D5295" t="s">
        <v>8</v>
      </c>
      <c r="E5295" t="s">
        <v>9</v>
      </c>
      <c r="F5295" t="s">
        <v>10</v>
      </c>
      <c r="G5295" t="s">
        <v>124</v>
      </c>
      <c r="H5295" t="s">
        <v>12</v>
      </c>
      <c r="I5295" t="s">
        <v>13</v>
      </c>
      <c r="J5295" t="s">
        <v>14</v>
      </c>
    </row>
    <row r="5296" spans="1:10" x14ac:dyDescent="0.25">
      <c r="C5296" t="s">
        <v>15</v>
      </c>
      <c r="D5296" t="s">
        <v>15</v>
      </c>
      <c r="E5296" t="s">
        <v>15</v>
      </c>
      <c r="F5296" t="s">
        <v>16</v>
      </c>
      <c r="G5296" t="s">
        <v>15</v>
      </c>
      <c r="H5296" t="s">
        <v>17</v>
      </c>
      <c r="I5296" t="s">
        <v>16</v>
      </c>
      <c r="J5296" t="s">
        <v>16</v>
      </c>
    </row>
    <row r="5297" spans="1:10" x14ac:dyDescent="0.25">
      <c r="A5297" t="s">
        <v>18</v>
      </c>
      <c r="B5297" t="s">
        <v>19</v>
      </c>
      <c r="C5297" t="s">
        <v>20</v>
      </c>
      <c r="D5297" t="s">
        <v>21</v>
      </c>
      <c r="E5297" t="s">
        <v>22</v>
      </c>
      <c r="F5297" t="s">
        <v>23</v>
      </c>
      <c r="G5297" t="s">
        <v>24</v>
      </c>
      <c r="H5297" t="s">
        <v>20</v>
      </c>
      <c r="I5297" t="s">
        <v>24</v>
      </c>
      <c r="J5297" t="s">
        <v>20</v>
      </c>
    </row>
    <row r="5299" spans="1:10" x14ac:dyDescent="0.25">
      <c r="A5299" t="s">
        <v>18</v>
      </c>
      <c r="B5299" t="s">
        <v>19</v>
      </c>
      <c r="C5299" t="s">
        <v>20</v>
      </c>
      <c r="D5299" t="s">
        <v>21</v>
      </c>
      <c r="E5299" t="s">
        <v>26</v>
      </c>
    </row>
    <row r="5300" spans="1:10" x14ac:dyDescent="0.25">
      <c r="E5300" t="s">
        <v>339</v>
      </c>
      <c r="F5300" t="s">
        <v>23</v>
      </c>
      <c r="G5300" t="s">
        <v>24</v>
      </c>
      <c r="H5300" t="s">
        <v>20</v>
      </c>
      <c r="I5300" t="s">
        <v>24</v>
      </c>
      <c r="J5300" t="s">
        <v>20</v>
      </c>
    </row>
    <row r="5302" spans="1:10" x14ac:dyDescent="0.25">
      <c r="A5302" t="s">
        <v>1609</v>
      </c>
      <c r="B5302" t="s">
        <v>1610</v>
      </c>
      <c r="C5302">
        <v>0</v>
      </c>
      <c r="D5302">
        <v>0</v>
      </c>
      <c r="E5302">
        <v>0</v>
      </c>
      <c r="F5302">
        <v>0</v>
      </c>
      <c r="G5302">
        <v>0</v>
      </c>
      <c r="H5302">
        <v>0</v>
      </c>
    </row>
    <row r="5304" spans="1:10" x14ac:dyDescent="0.25">
      <c r="A5304" t="s">
        <v>1611</v>
      </c>
      <c r="B5304" t="s">
        <v>1612</v>
      </c>
      <c r="C5304">
        <v>0</v>
      </c>
      <c r="D5304">
        <v>0</v>
      </c>
      <c r="E5304">
        <v>0</v>
      </c>
      <c r="F5304">
        <v>0</v>
      </c>
      <c r="G5304">
        <v>0</v>
      </c>
      <c r="H5304">
        <v>0</v>
      </c>
    </row>
    <row r="5307" spans="1:10" x14ac:dyDescent="0.25">
      <c r="A5307" t="s">
        <v>1613</v>
      </c>
      <c r="B5307" t="s">
        <v>1614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3672-CCB5-4471-AB3D-9C3112615575}">
  <sheetPr>
    <pageSetUpPr fitToPage="1"/>
  </sheetPr>
  <dimension ref="A1:L97"/>
  <sheetViews>
    <sheetView zoomScaleNormal="100" workbookViewId="0">
      <pane ySplit="7" topLeftCell="A8" activePane="bottomLeft" state="frozen"/>
      <selection pane="bottomLeft" activeCell="J17" sqref="J17"/>
    </sheetView>
  </sheetViews>
  <sheetFormatPr defaultRowHeight="15" x14ac:dyDescent="0.25"/>
  <cols>
    <col min="2" max="2" width="32.5703125" bestFit="1" customWidth="1"/>
    <col min="3" max="3" width="13.28515625" bestFit="1" customWidth="1"/>
    <col min="4" max="4" width="15" bestFit="1" customWidth="1"/>
    <col min="5" max="5" width="14" bestFit="1" customWidth="1"/>
    <col min="6" max="6" width="14.140625" bestFit="1" customWidth="1"/>
    <col min="7" max="7" width="12.5703125" bestFit="1" customWidth="1"/>
    <col min="8" max="8" width="13.28515625" bestFit="1" customWidth="1"/>
    <col min="9" max="9" width="10.7109375" style="7" customWidth="1"/>
    <col min="10" max="10" width="13.28515625" bestFit="1" customWidth="1"/>
    <col min="11" max="11" width="14.7109375" bestFit="1" customWidth="1"/>
    <col min="12" max="12" width="14.140625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9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9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2" x14ac:dyDescent="0.25">
      <c r="A8" t="s">
        <v>3557</v>
      </c>
    </row>
    <row r="11" spans="1:12" x14ac:dyDescent="0.25">
      <c r="A11" t="s">
        <v>441</v>
      </c>
    </row>
    <row r="12" spans="1:12" x14ac:dyDescent="0.25">
      <c r="A12" t="s">
        <v>18</v>
      </c>
      <c r="B12" t="s">
        <v>228</v>
      </c>
    </row>
    <row r="13" spans="1:12" x14ac:dyDescent="0.25">
      <c r="A13" t="s">
        <v>668</v>
      </c>
      <c r="B13" t="s">
        <v>569</v>
      </c>
      <c r="C13" s="22">
        <v>8345</v>
      </c>
      <c r="D13" s="22">
        <v>8617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669</v>
      </c>
      <c r="B14" t="s">
        <v>396</v>
      </c>
      <c r="C14" s="22">
        <v>27</v>
      </c>
      <c r="D14" s="22">
        <v>50</v>
      </c>
      <c r="E14" s="22">
        <v>503</v>
      </c>
      <c r="F14" s="22">
        <v>1260</v>
      </c>
      <c r="G14" s="22">
        <v>189</v>
      </c>
      <c r="H14" s="21">
        <v>189</v>
      </c>
      <c r="I14" s="21"/>
      <c r="J14" s="21">
        <v>252</v>
      </c>
      <c r="K14" s="21">
        <v>0</v>
      </c>
      <c r="L14" s="22">
        <f t="shared" ref="L14:L36" si="0">SUM(J14+K14)</f>
        <v>252</v>
      </c>
    </row>
    <row r="15" spans="1:12" x14ac:dyDescent="0.25">
      <c r="A15" t="s">
        <v>670</v>
      </c>
      <c r="B15" t="s">
        <v>398</v>
      </c>
      <c r="C15" s="22">
        <v>13487</v>
      </c>
      <c r="D15" s="22">
        <v>18346</v>
      </c>
      <c r="E15" s="22">
        <v>35064</v>
      </c>
      <c r="F15" s="22">
        <v>34172</v>
      </c>
      <c r="G15" s="22">
        <v>16540.439999999999</v>
      </c>
      <c r="H15" s="21">
        <v>18750</v>
      </c>
      <c r="I15" s="21"/>
      <c r="J15" s="21">
        <v>21346.54</v>
      </c>
      <c r="K15" s="21">
        <v>0</v>
      </c>
      <c r="L15" s="22">
        <f t="shared" si="0"/>
        <v>21346.54</v>
      </c>
    </row>
    <row r="16" spans="1:12" x14ac:dyDescent="0.25">
      <c r="A16" t="s">
        <v>671</v>
      </c>
      <c r="B16" t="s">
        <v>400</v>
      </c>
      <c r="C16" s="22">
        <v>13556</v>
      </c>
      <c r="D16" s="22">
        <v>19743</v>
      </c>
      <c r="E16" s="22">
        <v>40661</v>
      </c>
      <c r="F16" s="22">
        <v>38405</v>
      </c>
      <c r="G16" s="22">
        <v>17217.349999999999</v>
      </c>
      <c r="H16" s="21">
        <v>23500</v>
      </c>
      <c r="I16" s="21"/>
      <c r="J16" s="21">
        <f>6262.79+19067.63</f>
        <v>25330.420000000002</v>
      </c>
      <c r="K16" s="21">
        <v>0</v>
      </c>
      <c r="L16" s="22">
        <f t="shared" si="0"/>
        <v>25330.420000000002</v>
      </c>
    </row>
    <row r="17" spans="1:12" x14ac:dyDescent="0.25">
      <c r="A17" t="s">
        <v>672</v>
      </c>
      <c r="B17" t="s">
        <v>574</v>
      </c>
      <c r="C17" s="22">
        <v>34844</v>
      </c>
      <c r="D17" s="22">
        <v>44508</v>
      </c>
      <c r="E17" s="22">
        <v>60519</v>
      </c>
      <c r="F17" s="22">
        <v>50619</v>
      </c>
      <c r="G17" s="22">
        <v>39715.519999999997</v>
      </c>
      <c r="H17" s="21">
        <v>44250</v>
      </c>
      <c r="I17" s="21"/>
      <c r="J17" s="21">
        <v>75056.28</v>
      </c>
      <c r="K17" s="21">
        <v>0</v>
      </c>
      <c r="L17" s="22">
        <f t="shared" si="0"/>
        <v>75056.28</v>
      </c>
    </row>
    <row r="18" spans="1:12" x14ac:dyDescent="0.25">
      <c r="A18" t="s">
        <v>673</v>
      </c>
      <c r="B18" t="s">
        <v>404</v>
      </c>
      <c r="C18" s="22">
        <v>1736</v>
      </c>
      <c r="D18" s="22">
        <v>2099</v>
      </c>
      <c r="E18" s="22">
        <v>2585</v>
      </c>
      <c r="F18" s="22">
        <v>2616</v>
      </c>
      <c r="G18" s="22">
        <v>1345.97</v>
      </c>
      <c r="H18" s="21">
        <v>1650</v>
      </c>
      <c r="I18" s="21"/>
      <c r="J18" s="21">
        <v>3600</v>
      </c>
      <c r="K18" s="21">
        <v>0</v>
      </c>
      <c r="L18" s="22">
        <f t="shared" si="0"/>
        <v>3600</v>
      </c>
    </row>
    <row r="19" spans="1:12" x14ac:dyDescent="0.25">
      <c r="A19" t="s">
        <v>674</v>
      </c>
      <c r="B19" t="s">
        <v>406</v>
      </c>
      <c r="C19" s="22">
        <v>412</v>
      </c>
      <c r="D19" s="22">
        <v>5177</v>
      </c>
      <c r="E19" s="22">
        <v>1113</v>
      </c>
      <c r="F19" s="22">
        <v>1224</v>
      </c>
      <c r="G19" s="22">
        <v>1604.72</v>
      </c>
      <c r="H19" s="21">
        <v>1605</v>
      </c>
      <c r="I19" s="21"/>
      <c r="J19" s="21">
        <f>G19*10%+G19</f>
        <v>1765.192</v>
      </c>
      <c r="K19" s="21">
        <v>0</v>
      </c>
      <c r="L19" s="22">
        <f t="shared" si="0"/>
        <v>1765.192</v>
      </c>
    </row>
    <row r="20" spans="1:12" x14ac:dyDescent="0.25">
      <c r="A20" t="s">
        <v>675</v>
      </c>
      <c r="B20" t="s">
        <v>676</v>
      </c>
      <c r="C20" s="22">
        <v>0</v>
      </c>
      <c r="D20" s="22">
        <v>26154</v>
      </c>
      <c r="E20" s="22">
        <v>80000</v>
      </c>
      <c r="F20" s="22">
        <v>84000</v>
      </c>
      <c r="G20" s="22">
        <v>74000.009999999995</v>
      </c>
      <c r="H20" s="21">
        <v>83750</v>
      </c>
      <c r="I20" s="21"/>
      <c r="J20" s="21">
        <v>84000</v>
      </c>
      <c r="K20" s="21">
        <v>0</v>
      </c>
      <c r="L20" s="22">
        <f t="shared" si="0"/>
        <v>84000</v>
      </c>
    </row>
    <row r="21" spans="1:12" x14ac:dyDescent="0.25">
      <c r="A21" t="s">
        <v>677</v>
      </c>
      <c r="B21" t="s">
        <v>678</v>
      </c>
      <c r="C21" s="22">
        <v>22327</v>
      </c>
      <c r="D21" s="22">
        <v>40693</v>
      </c>
      <c r="E21" s="22">
        <v>6210</v>
      </c>
      <c r="F21" s="22">
        <v>42000</v>
      </c>
      <c r="G21" s="22">
        <v>10692</v>
      </c>
      <c r="H21" s="21">
        <v>15972</v>
      </c>
      <c r="I21" s="21"/>
      <c r="J21" s="21">
        <v>50000</v>
      </c>
      <c r="K21" s="21">
        <v>0</v>
      </c>
      <c r="L21" s="22">
        <f t="shared" si="0"/>
        <v>50000</v>
      </c>
    </row>
    <row r="22" spans="1:12" x14ac:dyDescent="0.25">
      <c r="A22" t="s">
        <v>679</v>
      </c>
      <c r="B22" t="s">
        <v>680</v>
      </c>
      <c r="C22" s="22">
        <v>55908</v>
      </c>
      <c r="D22" s="22">
        <v>65154</v>
      </c>
      <c r="E22" s="22">
        <v>75006</v>
      </c>
      <c r="F22" s="22">
        <v>78756</v>
      </c>
      <c r="G22" s="22">
        <v>48059.6</v>
      </c>
      <c r="H22" s="21">
        <v>48060</v>
      </c>
      <c r="I22" s="21"/>
      <c r="J22" s="21">
        <v>0</v>
      </c>
      <c r="K22" s="21">
        <v>0</v>
      </c>
      <c r="L22" s="22">
        <f t="shared" si="0"/>
        <v>0</v>
      </c>
    </row>
    <row r="23" spans="1:12" x14ac:dyDescent="0.25">
      <c r="A23" t="s">
        <v>3788</v>
      </c>
      <c r="B23" t="s">
        <v>3789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1">
        <v>0</v>
      </c>
      <c r="I23" s="21"/>
      <c r="J23" s="21">
        <v>45760</v>
      </c>
      <c r="K23" s="21"/>
      <c r="L23" s="22"/>
    </row>
    <row r="24" spans="1:12" x14ac:dyDescent="0.25">
      <c r="A24" t="s">
        <v>681</v>
      </c>
      <c r="B24" t="s">
        <v>682</v>
      </c>
      <c r="C24" s="22">
        <v>0</v>
      </c>
      <c r="D24" s="22">
        <v>0</v>
      </c>
      <c r="E24" s="22">
        <v>0</v>
      </c>
      <c r="F24" s="22">
        <v>0</v>
      </c>
      <c r="G24" s="22">
        <v>26153.84</v>
      </c>
      <c r="H24" s="21">
        <v>26154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683</v>
      </c>
      <c r="B25" t="s">
        <v>684</v>
      </c>
      <c r="C25" s="22">
        <v>85057</v>
      </c>
      <c r="D25" s="22">
        <v>96758</v>
      </c>
      <c r="E25" s="22">
        <v>178456</v>
      </c>
      <c r="F25" s="22">
        <v>110532</v>
      </c>
      <c r="G25" s="22">
        <v>3846.16</v>
      </c>
      <c r="H25" s="21">
        <v>15750</v>
      </c>
      <c r="I25" s="21"/>
      <c r="J25" s="21">
        <v>100000</v>
      </c>
      <c r="K25" s="21">
        <v>0</v>
      </c>
      <c r="L25" s="22">
        <f t="shared" si="0"/>
        <v>100000</v>
      </c>
    </row>
    <row r="26" spans="1:12" hidden="1" x14ac:dyDescent="0.25">
      <c r="A26" t="s">
        <v>685</v>
      </c>
      <c r="B26" t="s">
        <v>686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1">
        <v>0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687</v>
      </c>
      <c r="B27" t="s">
        <v>688</v>
      </c>
      <c r="C27" s="22">
        <v>0</v>
      </c>
      <c r="D27" s="22">
        <v>11538</v>
      </c>
      <c r="E27" s="22">
        <v>120000</v>
      </c>
      <c r="F27" s="22">
        <v>126000</v>
      </c>
      <c r="G27" s="22">
        <v>55151.07</v>
      </c>
      <c r="H27" s="21">
        <v>55151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689</v>
      </c>
      <c r="B28" t="s">
        <v>690</v>
      </c>
      <c r="C28" s="22">
        <v>900</v>
      </c>
      <c r="D28" s="22">
        <v>1003</v>
      </c>
      <c r="E28" s="22">
        <v>1107</v>
      </c>
      <c r="F28" s="22">
        <v>1408</v>
      </c>
      <c r="G28" s="22">
        <v>657.43</v>
      </c>
      <c r="H28" s="21">
        <v>657</v>
      </c>
      <c r="I28" s="21"/>
      <c r="J28" s="21">
        <v>865.05</v>
      </c>
      <c r="K28" s="21">
        <v>0</v>
      </c>
      <c r="L28" s="22">
        <f t="shared" si="0"/>
        <v>865.05</v>
      </c>
    </row>
    <row r="29" spans="1:12" x14ac:dyDescent="0.25">
      <c r="A29" t="s">
        <v>691</v>
      </c>
      <c r="B29" t="s">
        <v>426</v>
      </c>
      <c r="C29" s="22">
        <v>810</v>
      </c>
      <c r="D29" s="22">
        <v>1215</v>
      </c>
      <c r="E29" s="22">
        <v>1215</v>
      </c>
      <c r="F29" s="22">
        <v>2025</v>
      </c>
      <c r="G29" s="22">
        <v>1245.6600000000001</v>
      </c>
      <c r="H29" s="21">
        <v>1246</v>
      </c>
      <c r="I29" s="21"/>
      <c r="J29" s="21">
        <v>1214.73</v>
      </c>
      <c r="K29" s="21">
        <v>0</v>
      </c>
      <c r="L29" s="22">
        <f t="shared" si="0"/>
        <v>1214.73</v>
      </c>
    </row>
    <row r="30" spans="1:12" x14ac:dyDescent="0.25">
      <c r="A30" t="s">
        <v>692</v>
      </c>
      <c r="B30" t="s">
        <v>428</v>
      </c>
      <c r="C30" s="22">
        <v>1500</v>
      </c>
      <c r="D30" s="22">
        <v>1639</v>
      </c>
      <c r="E30" s="22">
        <v>1154</v>
      </c>
      <c r="F30" s="22">
        <v>2400</v>
      </c>
      <c r="G30" s="22">
        <v>530.84</v>
      </c>
      <c r="H30" s="21">
        <v>950</v>
      </c>
      <c r="I30" s="21"/>
      <c r="J30" s="21">
        <v>1200</v>
      </c>
      <c r="K30" s="21">
        <v>0</v>
      </c>
      <c r="L30" s="22">
        <f t="shared" si="0"/>
        <v>1200</v>
      </c>
    </row>
    <row r="31" spans="1:12" x14ac:dyDescent="0.25">
      <c r="A31" t="s">
        <v>693</v>
      </c>
      <c r="B31" t="s">
        <v>430</v>
      </c>
      <c r="C31" s="22">
        <v>69</v>
      </c>
      <c r="D31" s="22">
        <v>104</v>
      </c>
      <c r="E31" s="22">
        <v>138</v>
      </c>
      <c r="F31" s="22">
        <v>207</v>
      </c>
      <c r="G31" s="22">
        <v>103.8</v>
      </c>
      <c r="H31" s="21">
        <v>104</v>
      </c>
      <c r="I31" s="21"/>
      <c r="J31" s="21">
        <v>0</v>
      </c>
      <c r="K31" s="21">
        <v>0</v>
      </c>
      <c r="L31" s="22">
        <f t="shared" si="0"/>
        <v>0</v>
      </c>
    </row>
    <row r="32" spans="1:12" x14ac:dyDescent="0.25">
      <c r="A32" t="s">
        <v>694</v>
      </c>
      <c r="B32" t="s">
        <v>695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1">
        <v>0</v>
      </c>
      <c r="I32" s="21"/>
      <c r="J32" s="21">
        <v>0</v>
      </c>
      <c r="K32" s="21">
        <v>0</v>
      </c>
      <c r="L32" s="22">
        <f t="shared" si="0"/>
        <v>0</v>
      </c>
    </row>
    <row r="33" spans="1:12" x14ac:dyDescent="0.25">
      <c r="A33" t="s">
        <v>696</v>
      </c>
      <c r="B33" t="s">
        <v>432</v>
      </c>
      <c r="C33" s="22">
        <v>0</v>
      </c>
      <c r="D33" s="22">
        <v>0</v>
      </c>
      <c r="E33" s="22">
        <v>0</v>
      </c>
      <c r="F33" s="22">
        <v>0</v>
      </c>
      <c r="G33" s="22">
        <v>57.75</v>
      </c>
      <c r="H33" s="21">
        <v>100</v>
      </c>
      <c r="I33" s="21"/>
      <c r="J33" s="21">
        <v>0</v>
      </c>
      <c r="K33" s="21">
        <v>0</v>
      </c>
      <c r="L33" s="22">
        <f t="shared" si="0"/>
        <v>0</v>
      </c>
    </row>
    <row r="34" spans="1:12" x14ac:dyDescent="0.25">
      <c r="A34" t="s">
        <v>697</v>
      </c>
      <c r="B34" t="s">
        <v>434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1">
        <v>0</v>
      </c>
      <c r="I34" s="21"/>
      <c r="J34" s="21">
        <v>0</v>
      </c>
      <c r="K34" s="21">
        <v>0</v>
      </c>
      <c r="L34" s="22">
        <f t="shared" si="0"/>
        <v>0</v>
      </c>
    </row>
    <row r="35" spans="1:12" x14ac:dyDescent="0.25">
      <c r="A35" t="s">
        <v>698</v>
      </c>
      <c r="B35" t="s">
        <v>436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1">
        <v>0</v>
      </c>
      <c r="I35" s="21"/>
      <c r="J35" s="21">
        <v>0</v>
      </c>
      <c r="K35" s="21">
        <v>0</v>
      </c>
      <c r="L35" s="22">
        <f t="shared" si="0"/>
        <v>0</v>
      </c>
    </row>
    <row r="36" spans="1:12" x14ac:dyDescent="0.25">
      <c r="A36" t="s">
        <v>699</v>
      </c>
      <c r="B36" t="s">
        <v>607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1">
        <v>0</v>
      </c>
      <c r="I36" s="21"/>
      <c r="J36" s="21">
        <v>0</v>
      </c>
      <c r="K36" s="21">
        <v>0</v>
      </c>
      <c r="L36" s="22">
        <f t="shared" si="0"/>
        <v>0</v>
      </c>
    </row>
    <row r="37" spans="1:12" x14ac:dyDescent="0.25">
      <c r="C37" s="12"/>
      <c r="D37" s="12"/>
      <c r="E37" s="12"/>
      <c r="F37" s="12"/>
      <c r="G37" s="12"/>
      <c r="H37" s="12"/>
      <c r="I37" s="11"/>
      <c r="J37" s="12"/>
      <c r="K37" s="12"/>
      <c r="L37" s="12"/>
    </row>
    <row r="38" spans="1:12" x14ac:dyDescent="0.25">
      <c r="C38" s="12"/>
      <c r="D38" s="12"/>
      <c r="E38" s="12"/>
      <c r="F38" s="12"/>
      <c r="G38" s="12"/>
      <c r="H38" s="12"/>
      <c r="I38" s="11"/>
      <c r="J38" s="12"/>
      <c r="K38" s="12"/>
      <c r="L38" s="12"/>
    </row>
    <row r="39" spans="1:12" x14ac:dyDescent="0.25">
      <c r="A39" t="s">
        <v>109</v>
      </c>
      <c r="C39" s="12"/>
      <c r="D39" s="12"/>
      <c r="E39" s="12"/>
      <c r="F39" s="12"/>
      <c r="G39" s="12"/>
      <c r="H39" s="12"/>
      <c r="I39" s="11"/>
      <c r="J39" s="12"/>
      <c r="K39" s="12"/>
      <c r="L39" s="12"/>
    </row>
    <row r="40" spans="1:12" x14ac:dyDescent="0.25">
      <c r="B40" t="s">
        <v>441</v>
      </c>
      <c r="C40" s="22">
        <f t="shared" ref="C40:H40" si="1">SUM(C13:C36)</f>
        <v>238978</v>
      </c>
      <c r="D40" s="22">
        <f t="shared" si="1"/>
        <v>342798</v>
      </c>
      <c r="E40" s="22">
        <f t="shared" si="1"/>
        <v>603731</v>
      </c>
      <c r="F40" s="22">
        <f t="shared" si="1"/>
        <v>575624</v>
      </c>
      <c r="G40" s="22">
        <f t="shared" si="1"/>
        <v>297111.15999999997</v>
      </c>
      <c r="H40" s="22">
        <f t="shared" si="1"/>
        <v>337838</v>
      </c>
      <c r="I40" s="21"/>
      <c r="J40" s="22">
        <f>SUM(J13:J36)</f>
        <v>410390.212</v>
      </c>
      <c r="K40" s="22">
        <f>SUM(K13:K36)</f>
        <v>0</v>
      </c>
      <c r="L40" s="22">
        <f>SUM(L13:L36)</f>
        <v>364630.212</v>
      </c>
    </row>
    <row r="41" spans="1:12" x14ac:dyDescent="0.25">
      <c r="C41" s="12"/>
      <c r="D41" s="12"/>
      <c r="E41" s="12"/>
      <c r="F41" s="12"/>
      <c r="G41" s="12"/>
      <c r="H41" s="12"/>
      <c r="I41" s="11"/>
      <c r="J41" s="12"/>
      <c r="K41" s="12"/>
      <c r="L41" s="12"/>
    </row>
    <row r="42" spans="1:12" x14ac:dyDescent="0.25">
      <c r="A42" t="s">
        <v>478</v>
      </c>
      <c r="C42" s="12"/>
      <c r="D42" s="12"/>
      <c r="E42" s="12"/>
      <c r="F42" s="12"/>
      <c r="G42" s="12"/>
      <c r="H42" s="12"/>
      <c r="I42" s="11"/>
      <c r="J42" s="12"/>
      <c r="K42" s="12"/>
      <c r="L42" s="12"/>
    </row>
    <row r="43" spans="1:12" x14ac:dyDescent="0.25">
      <c r="A43" t="s">
        <v>18</v>
      </c>
      <c r="B43" t="s">
        <v>21</v>
      </c>
      <c r="C43" s="12"/>
      <c r="D43" s="12"/>
      <c r="E43" s="12"/>
      <c r="F43" s="12"/>
      <c r="G43" s="12"/>
      <c r="H43" s="12"/>
      <c r="I43" s="11"/>
      <c r="J43" s="12"/>
      <c r="K43" s="12"/>
      <c r="L43" s="12"/>
    </row>
    <row r="44" spans="1:12" hidden="1" x14ac:dyDescent="0.25">
      <c r="A44" t="s">
        <v>700</v>
      </c>
      <c r="B44" t="s">
        <v>445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1">
        <v>0</v>
      </c>
      <c r="I44" s="21"/>
      <c r="J44" s="21">
        <v>0</v>
      </c>
      <c r="K44" s="21">
        <v>0</v>
      </c>
      <c r="L44" s="22">
        <f>SUM(J44+K44)</f>
        <v>0</v>
      </c>
    </row>
    <row r="45" spans="1:12" x14ac:dyDescent="0.25">
      <c r="A45" t="s">
        <v>701</v>
      </c>
      <c r="B45" t="s">
        <v>447</v>
      </c>
      <c r="C45" s="22">
        <v>0</v>
      </c>
      <c r="D45" s="22">
        <v>213</v>
      </c>
      <c r="E45" s="22">
        <v>0</v>
      </c>
      <c r="F45" s="22">
        <v>200</v>
      </c>
      <c r="G45" s="22">
        <v>49.49</v>
      </c>
      <c r="H45" s="21">
        <v>125</v>
      </c>
      <c r="I45" s="21"/>
      <c r="J45" s="21">
        <v>150</v>
      </c>
      <c r="K45" s="21">
        <v>0</v>
      </c>
      <c r="L45" s="22">
        <f t="shared" ref="L45:L56" si="2">SUM(J45+K45)</f>
        <v>150</v>
      </c>
    </row>
    <row r="46" spans="1:12" x14ac:dyDescent="0.25">
      <c r="A46" t="s">
        <v>702</v>
      </c>
      <c r="B46" t="s">
        <v>449</v>
      </c>
      <c r="C46" s="22">
        <v>812</v>
      </c>
      <c r="D46" s="22">
        <v>225</v>
      </c>
      <c r="E46" s="22">
        <v>1328</v>
      </c>
      <c r="F46" s="22">
        <v>1600</v>
      </c>
      <c r="G46" s="22">
        <v>697.96</v>
      </c>
      <c r="H46" s="21">
        <v>750</v>
      </c>
      <c r="I46" s="21"/>
      <c r="J46" s="21">
        <v>1000</v>
      </c>
      <c r="K46" s="21">
        <v>0</v>
      </c>
      <c r="L46" s="22">
        <f t="shared" si="2"/>
        <v>1000</v>
      </c>
    </row>
    <row r="47" spans="1:12" x14ac:dyDescent="0.25">
      <c r="A47" t="s">
        <v>703</v>
      </c>
      <c r="B47" t="s">
        <v>451</v>
      </c>
      <c r="C47" s="22">
        <v>0</v>
      </c>
      <c r="D47" s="22">
        <v>1135</v>
      </c>
      <c r="E47" s="22">
        <v>1427</v>
      </c>
      <c r="F47" s="22">
        <v>2000</v>
      </c>
      <c r="G47" s="22">
        <v>1463</v>
      </c>
      <c r="H47" s="21">
        <v>1750</v>
      </c>
      <c r="I47" s="21"/>
      <c r="J47" s="21">
        <v>1500</v>
      </c>
      <c r="K47" s="21">
        <v>0</v>
      </c>
      <c r="L47" s="22">
        <f t="shared" si="2"/>
        <v>1500</v>
      </c>
    </row>
    <row r="48" spans="1:12" x14ac:dyDescent="0.25">
      <c r="A48" t="s">
        <v>704</v>
      </c>
      <c r="B48" t="s">
        <v>457</v>
      </c>
      <c r="C48" s="22">
        <v>0</v>
      </c>
      <c r="D48" s="22">
        <v>300</v>
      </c>
      <c r="E48" s="22">
        <v>400</v>
      </c>
      <c r="F48" s="22">
        <v>300</v>
      </c>
      <c r="G48" s="22">
        <v>100</v>
      </c>
      <c r="H48" s="21">
        <v>100</v>
      </c>
      <c r="I48" s="21"/>
      <c r="J48" s="21">
        <v>150</v>
      </c>
      <c r="K48" s="21">
        <v>0</v>
      </c>
      <c r="L48" s="22">
        <f t="shared" si="2"/>
        <v>150</v>
      </c>
    </row>
    <row r="49" spans="1:12" x14ac:dyDescent="0.25">
      <c r="A49" t="s">
        <v>705</v>
      </c>
      <c r="B49" t="s">
        <v>459</v>
      </c>
      <c r="C49" s="22">
        <v>0</v>
      </c>
      <c r="D49" s="22">
        <v>230</v>
      </c>
      <c r="E49" s="22">
        <v>0</v>
      </c>
      <c r="F49" s="22">
        <v>115</v>
      </c>
      <c r="G49" s="22">
        <v>0</v>
      </c>
      <c r="H49" s="21">
        <v>115</v>
      </c>
      <c r="I49" s="21"/>
      <c r="J49" s="21">
        <v>0</v>
      </c>
      <c r="K49" s="21">
        <v>0</v>
      </c>
      <c r="L49" s="22">
        <f t="shared" si="2"/>
        <v>0</v>
      </c>
    </row>
    <row r="50" spans="1:12" x14ac:dyDescent="0.25">
      <c r="A50" t="s">
        <v>707</v>
      </c>
      <c r="B50" t="s">
        <v>461</v>
      </c>
      <c r="C50" s="22">
        <v>0</v>
      </c>
      <c r="D50" s="22">
        <v>0</v>
      </c>
      <c r="E50" s="22">
        <v>71</v>
      </c>
      <c r="F50" s="22">
        <v>0</v>
      </c>
      <c r="G50" s="22">
        <v>189</v>
      </c>
      <c r="H50" s="21">
        <v>300</v>
      </c>
      <c r="I50" s="21"/>
      <c r="J50" s="21">
        <v>250</v>
      </c>
      <c r="K50" s="21">
        <v>0</v>
      </c>
      <c r="L50" s="22">
        <f t="shared" si="2"/>
        <v>250</v>
      </c>
    </row>
    <row r="51" spans="1:12" x14ac:dyDescent="0.25">
      <c r="A51" t="s">
        <v>708</v>
      </c>
      <c r="B51" t="s">
        <v>465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1">
        <v>0</v>
      </c>
      <c r="I51" s="21"/>
      <c r="J51" s="21">
        <v>0</v>
      </c>
      <c r="K51" s="21">
        <v>0</v>
      </c>
      <c r="L51" s="22">
        <f t="shared" si="2"/>
        <v>0</v>
      </c>
    </row>
    <row r="52" spans="1:12" x14ac:dyDescent="0.25">
      <c r="A52" t="s">
        <v>709</v>
      </c>
      <c r="B52" t="s">
        <v>710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1">
        <v>0</v>
      </c>
      <c r="I52" s="21"/>
      <c r="J52" s="21">
        <v>0</v>
      </c>
      <c r="K52" s="21">
        <v>0</v>
      </c>
      <c r="L52" s="22">
        <f t="shared" si="2"/>
        <v>0</v>
      </c>
    </row>
    <row r="53" spans="1:12" x14ac:dyDescent="0.25">
      <c r="A53" t="s">
        <v>711</v>
      </c>
      <c r="B53" t="s">
        <v>471</v>
      </c>
      <c r="C53" s="22">
        <v>0</v>
      </c>
      <c r="D53" s="22">
        <v>9</v>
      </c>
      <c r="E53" s="22">
        <v>268</v>
      </c>
      <c r="F53" s="22">
        <v>200</v>
      </c>
      <c r="G53" s="22">
        <v>300</v>
      </c>
      <c r="H53" s="21">
        <v>360</v>
      </c>
      <c r="I53" s="21"/>
      <c r="J53" s="21">
        <v>360</v>
      </c>
      <c r="K53" s="21">
        <v>0</v>
      </c>
      <c r="L53" s="22">
        <f t="shared" si="2"/>
        <v>360</v>
      </c>
    </row>
    <row r="54" spans="1:12" x14ac:dyDescent="0.25">
      <c r="A54" t="s">
        <v>712</v>
      </c>
      <c r="B54" t="s">
        <v>473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1">
        <v>0</v>
      </c>
      <c r="I54" s="21"/>
      <c r="J54" s="21">
        <v>0</v>
      </c>
      <c r="K54" s="21">
        <v>0</v>
      </c>
      <c r="L54" s="22">
        <f t="shared" si="2"/>
        <v>0</v>
      </c>
    </row>
    <row r="55" spans="1:12" x14ac:dyDescent="0.25">
      <c r="A55" t="s">
        <v>713</v>
      </c>
      <c r="B55" t="s">
        <v>475</v>
      </c>
      <c r="C55" s="22">
        <v>190</v>
      </c>
      <c r="D55" s="22">
        <v>189</v>
      </c>
      <c r="E55" s="22">
        <v>4650</v>
      </c>
      <c r="F55" s="22">
        <v>1000</v>
      </c>
      <c r="G55" s="22">
        <v>895.17</v>
      </c>
      <c r="H55" s="21">
        <v>1200</v>
      </c>
      <c r="I55" s="21"/>
      <c r="J55" s="21">
        <v>1000</v>
      </c>
      <c r="K55" s="21">
        <v>0</v>
      </c>
      <c r="L55" s="22">
        <f t="shared" si="2"/>
        <v>1000</v>
      </c>
    </row>
    <row r="56" spans="1:12" x14ac:dyDescent="0.25">
      <c r="A56" t="s">
        <v>714</v>
      </c>
      <c r="B56" t="s">
        <v>477</v>
      </c>
      <c r="C56" s="22">
        <v>237</v>
      </c>
      <c r="D56" s="22">
        <v>0</v>
      </c>
      <c r="E56" s="22">
        <v>0</v>
      </c>
      <c r="F56" s="22">
        <v>3500</v>
      </c>
      <c r="G56" s="22">
        <v>0</v>
      </c>
      <c r="H56" s="21">
        <v>0</v>
      </c>
      <c r="I56" s="21"/>
      <c r="J56" s="21">
        <v>1000</v>
      </c>
      <c r="K56" s="21">
        <v>0</v>
      </c>
      <c r="L56" s="22">
        <f t="shared" si="2"/>
        <v>1000</v>
      </c>
    </row>
    <row r="57" spans="1:12" x14ac:dyDescent="0.25">
      <c r="C57" s="12"/>
      <c r="D57" s="12"/>
      <c r="E57" s="12"/>
      <c r="F57" s="12"/>
      <c r="G57" s="12"/>
      <c r="H57" s="12"/>
      <c r="I57" s="11"/>
      <c r="J57" s="12"/>
      <c r="K57" s="12"/>
      <c r="L57" s="12"/>
    </row>
    <row r="58" spans="1:12" x14ac:dyDescent="0.25">
      <c r="C58" s="12"/>
      <c r="D58" s="12"/>
      <c r="E58" s="12"/>
      <c r="F58" s="12"/>
      <c r="G58" s="12"/>
      <c r="H58" s="12"/>
      <c r="I58" s="11"/>
      <c r="J58" s="12"/>
      <c r="K58" s="12"/>
      <c r="L58" s="12"/>
    </row>
    <row r="59" spans="1:12" x14ac:dyDescent="0.25">
      <c r="A59" t="s">
        <v>109</v>
      </c>
      <c r="C59" s="12"/>
      <c r="D59" s="12"/>
      <c r="E59" s="12"/>
      <c r="F59" s="12"/>
      <c r="G59" s="12"/>
      <c r="H59" s="12"/>
      <c r="I59" s="11"/>
      <c r="J59" s="12"/>
      <c r="K59" s="12"/>
      <c r="L59" s="12"/>
    </row>
    <row r="60" spans="1:12" x14ac:dyDescent="0.25">
      <c r="B60" t="s">
        <v>478</v>
      </c>
      <c r="C60" s="22">
        <f t="shared" ref="C60:H60" si="3">SUM(C44:C56)</f>
        <v>1239</v>
      </c>
      <c r="D60" s="22">
        <f t="shared" si="3"/>
        <v>2301</v>
      </c>
      <c r="E60" s="22">
        <f t="shared" si="3"/>
        <v>8144</v>
      </c>
      <c r="F60" s="22">
        <f t="shared" si="3"/>
        <v>8915</v>
      </c>
      <c r="G60" s="22">
        <f t="shared" si="3"/>
        <v>3694.62</v>
      </c>
      <c r="H60" s="22">
        <f t="shared" si="3"/>
        <v>4700</v>
      </c>
      <c r="I60" s="21"/>
      <c r="J60" s="22">
        <f>SUM(J44:J56)</f>
        <v>5410</v>
      </c>
      <c r="K60" s="22">
        <f>SUM(K44:K56)</f>
        <v>0</v>
      </c>
      <c r="L60" s="22">
        <f>SUM(L44:L56)</f>
        <v>5410</v>
      </c>
    </row>
    <row r="61" spans="1:12" x14ac:dyDescent="0.25">
      <c r="C61" s="12"/>
      <c r="D61" s="12"/>
      <c r="E61" s="12"/>
      <c r="F61" s="12"/>
      <c r="G61" s="12"/>
      <c r="H61" s="12"/>
      <c r="I61" s="11"/>
      <c r="J61" s="12"/>
      <c r="K61" s="12"/>
      <c r="L61" s="12"/>
    </row>
    <row r="62" spans="1:12" x14ac:dyDescent="0.25">
      <c r="A62" t="s">
        <v>489</v>
      </c>
      <c r="C62" s="12"/>
      <c r="D62" s="12"/>
      <c r="E62" s="12"/>
      <c r="F62" s="12"/>
      <c r="G62" s="12"/>
      <c r="H62" s="12"/>
      <c r="I62" s="11"/>
      <c r="J62" s="12"/>
      <c r="K62" s="12"/>
      <c r="L62" s="12"/>
    </row>
    <row r="63" spans="1:12" x14ac:dyDescent="0.25">
      <c r="A63" t="s">
        <v>18</v>
      </c>
      <c r="C63" s="12"/>
      <c r="D63" s="12"/>
      <c r="E63" s="12"/>
      <c r="F63" s="12"/>
      <c r="G63" s="12"/>
      <c r="H63" s="12"/>
      <c r="I63" s="11"/>
      <c r="J63" s="12"/>
      <c r="K63" s="12"/>
      <c r="L63" s="12"/>
    </row>
    <row r="64" spans="1:12" x14ac:dyDescent="0.25">
      <c r="A64" t="s">
        <v>715</v>
      </c>
      <c r="B64" t="s">
        <v>493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1">
        <v>0</v>
      </c>
      <c r="I64" s="21"/>
      <c r="J64" s="21">
        <v>0</v>
      </c>
      <c r="K64" s="21">
        <v>0</v>
      </c>
      <c r="L64" s="22">
        <f t="shared" ref="L64:L67" si="4">SUM(J64+K64)</f>
        <v>0</v>
      </c>
    </row>
    <row r="65" spans="1:12" x14ac:dyDescent="0.25">
      <c r="A65" t="s">
        <v>716</v>
      </c>
      <c r="B65" t="s">
        <v>489</v>
      </c>
      <c r="C65" s="22">
        <v>1072</v>
      </c>
      <c r="D65" s="22">
        <v>481</v>
      </c>
      <c r="E65" s="22">
        <v>481</v>
      </c>
      <c r="F65" s="22">
        <v>1500</v>
      </c>
      <c r="G65" s="22">
        <v>1819.35</v>
      </c>
      <c r="H65" s="21">
        <v>2000</v>
      </c>
      <c r="I65" s="21"/>
      <c r="J65" s="21">
        <v>2000</v>
      </c>
      <c r="K65" s="21">
        <v>0</v>
      </c>
      <c r="L65" s="22">
        <f t="shared" si="4"/>
        <v>2000</v>
      </c>
    </row>
    <row r="66" spans="1:12" hidden="1" x14ac:dyDescent="0.25">
      <c r="A66" t="s">
        <v>717</v>
      </c>
      <c r="B66" t="s">
        <v>498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1">
        <v>0</v>
      </c>
      <c r="I66" s="21"/>
      <c r="J66" s="21">
        <v>0</v>
      </c>
      <c r="K66" s="21">
        <v>0</v>
      </c>
      <c r="L66" s="22">
        <f t="shared" si="4"/>
        <v>0</v>
      </c>
    </row>
    <row r="67" spans="1:12" hidden="1" x14ac:dyDescent="0.25">
      <c r="A67" t="s">
        <v>718</v>
      </c>
      <c r="B67" t="s">
        <v>500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1">
        <v>0</v>
      </c>
      <c r="I67" s="21"/>
      <c r="J67" s="21">
        <v>0</v>
      </c>
      <c r="K67" s="21">
        <v>0</v>
      </c>
      <c r="L67" s="22">
        <f t="shared" si="4"/>
        <v>0</v>
      </c>
    </row>
    <row r="68" spans="1:12" x14ac:dyDescent="0.25">
      <c r="C68" s="12"/>
      <c r="D68" s="12"/>
      <c r="E68" s="12"/>
      <c r="F68" s="12"/>
      <c r="G68" s="12"/>
      <c r="H68" s="12"/>
      <c r="I68" s="11"/>
      <c r="J68" s="12"/>
      <c r="K68" s="12"/>
      <c r="L68" s="12"/>
    </row>
    <row r="69" spans="1:12" x14ac:dyDescent="0.25">
      <c r="C69" s="12"/>
      <c r="D69" s="12"/>
      <c r="E69" s="12"/>
      <c r="F69" s="12"/>
      <c r="G69" s="12"/>
      <c r="H69" s="12"/>
      <c r="I69" s="11"/>
      <c r="J69" s="12"/>
      <c r="K69" s="12"/>
      <c r="L69" s="12"/>
    </row>
    <row r="70" spans="1:12" x14ac:dyDescent="0.25">
      <c r="A70" t="s">
        <v>109</v>
      </c>
      <c r="C70" s="12"/>
      <c r="D70" s="12"/>
      <c r="E70" s="12"/>
      <c r="F70" s="12"/>
      <c r="G70" s="12"/>
      <c r="H70" s="12"/>
      <c r="I70" s="11"/>
      <c r="J70" s="12"/>
      <c r="K70" s="12"/>
      <c r="L70" s="12"/>
    </row>
    <row r="71" spans="1:12" x14ac:dyDescent="0.25">
      <c r="B71" t="s">
        <v>489</v>
      </c>
      <c r="C71" s="22">
        <f t="shared" ref="C71:H71" si="5">SUM(C64:C67)</f>
        <v>1072</v>
      </c>
      <c r="D71" s="22">
        <f t="shared" si="5"/>
        <v>481</v>
      </c>
      <c r="E71" s="22">
        <f t="shared" si="5"/>
        <v>481</v>
      </c>
      <c r="F71" s="22">
        <f t="shared" si="5"/>
        <v>1500</v>
      </c>
      <c r="G71" s="22">
        <f t="shared" si="5"/>
        <v>1819.35</v>
      </c>
      <c r="H71" s="22">
        <f t="shared" si="5"/>
        <v>2000</v>
      </c>
      <c r="I71" s="21"/>
      <c r="J71" s="22">
        <f>SUM(J64:J67)</f>
        <v>2000</v>
      </c>
      <c r="K71" s="22">
        <f>SUM(K64:K67)</f>
        <v>0</v>
      </c>
      <c r="L71" s="22">
        <f>SUM(L64:L67)</f>
        <v>2000</v>
      </c>
    </row>
    <row r="72" spans="1:12" x14ac:dyDescent="0.25">
      <c r="C72" s="12"/>
      <c r="D72" s="12"/>
      <c r="E72" s="12"/>
      <c r="F72" s="12"/>
      <c r="G72" s="12"/>
      <c r="H72" s="12"/>
      <c r="I72" s="11"/>
      <c r="J72" s="12"/>
      <c r="K72" s="12"/>
      <c r="L72" s="12"/>
    </row>
    <row r="73" spans="1:12" x14ac:dyDescent="0.25">
      <c r="A73" t="s">
        <v>501</v>
      </c>
      <c r="C73" s="12"/>
      <c r="D73" s="12"/>
      <c r="E73" s="12"/>
      <c r="F73" s="12"/>
      <c r="G73" s="12"/>
      <c r="H73" s="12"/>
      <c r="I73" s="11"/>
      <c r="J73" s="12"/>
      <c r="K73" s="12"/>
      <c r="L73" s="12"/>
    </row>
    <row r="74" spans="1:12" x14ac:dyDescent="0.25">
      <c r="A74" t="s">
        <v>18</v>
      </c>
      <c r="C74" s="12"/>
      <c r="D74" s="12"/>
      <c r="E74" s="12"/>
      <c r="F74" s="12"/>
      <c r="G74" s="12"/>
      <c r="H74" s="12"/>
      <c r="I74" s="11"/>
      <c r="J74" s="12"/>
      <c r="K74" s="12"/>
      <c r="L74" s="12"/>
    </row>
    <row r="75" spans="1:12" x14ac:dyDescent="0.25">
      <c r="A75" t="s">
        <v>719</v>
      </c>
      <c r="B75" t="s">
        <v>503</v>
      </c>
      <c r="C75" s="22">
        <v>0</v>
      </c>
      <c r="D75" s="22">
        <v>0</v>
      </c>
      <c r="E75" s="22">
        <v>0</v>
      </c>
      <c r="F75" s="22">
        <v>0</v>
      </c>
      <c r="G75" s="22">
        <v>31196.400000000001</v>
      </c>
      <c r="H75" s="21">
        <v>33000</v>
      </c>
      <c r="I75" s="21"/>
      <c r="J75" s="21">
        <v>7500</v>
      </c>
      <c r="K75" s="21">
        <v>0</v>
      </c>
      <c r="L75" s="22">
        <f t="shared" ref="L75:L80" si="6">SUM(J75+K75)</f>
        <v>7500</v>
      </c>
    </row>
    <row r="76" spans="1:12" x14ac:dyDescent="0.25">
      <c r="A76" t="s">
        <v>720</v>
      </c>
      <c r="B76" t="s">
        <v>721</v>
      </c>
      <c r="C76" s="22">
        <v>24198</v>
      </c>
      <c r="D76" s="22">
        <v>27296</v>
      </c>
      <c r="E76" s="22">
        <v>29910</v>
      </c>
      <c r="F76" s="22">
        <v>34000</v>
      </c>
      <c r="G76" s="22">
        <v>0</v>
      </c>
      <c r="H76" s="21">
        <v>34000</v>
      </c>
      <c r="I76" s="21"/>
      <c r="J76" s="21">
        <v>34000</v>
      </c>
      <c r="K76" s="21">
        <v>0</v>
      </c>
      <c r="L76" s="22">
        <f t="shared" si="6"/>
        <v>34000</v>
      </c>
    </row>
    <row r="77" spans="1:12" x14ac:dyDescent="0.25">
      <c r="A77" t="s">
        <v>722</v>
      </c>
      <c r="B77" t="s">
        <v>515</v>
      </c>
      <c r="C77" s="22">
        <v>31954</v>
      </c>
      <c r="D77" s="22">
        <v>39330</v>
      </c>
      <c r="E77" s="22">
        <v>50828</v>
      </c>
      <c r="F77" s="22">
        <v>55000</v>
      </c>
      <c r="G77" s="22">
        <v>39857.4</v>
      </c>
      <c r="H77" s="21">
        <v>55000</v>
      </c>
      <c r="I77" s="21"/>
      <c r="J77" s="21">
        <v>65000</v>
      </c>
      <c r="K77" s="21">
        <v>0</v>
      </c>
      <c r="L77" s="22">
        <f t="shared" si="6"/>
        <v>65000</v>
      </c>
    </row>
    <row r="78" spans="1:12" x14ac:dyDescent="0.25">
      <c r="A78" t="s">
        <v>723</v>
      </c>
      <c r="B78" t="s">
        <v>517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1">
        <v>0</v>
      </c>
      <c r="I78" s="21"/>
      <c r="J78" s="21">
        <v>0</v>
      </c>
      <c r="K78" s="21">
        <v>0</v>
      </c>
      <c r="L78" s="22">
        <f t="shared" si="6"/>
        <v>0</v>
      </c>
    </row>
    <row r="79" spans="1:12" x14ac:dyDescent="0.25">
      <c r="A79" t="s">
        <v>724</v>
      </c>
      <c r="B79" t="s">
        <v>519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1">
        <v>0</v>
      </c>
      <c r="I79" s="21"/>
      <c r="J79" s="21">
        <v>0</v>
      </c>
      <c r="K79" s="21">
        <v>0</v>
      </c>
      <c r="L79" s="22">
        <f t="shared" si="6"/>
        <v>0</v>
      </c>
    </row>
    <row r="80" spans="1:12" x14ac:dyDescent="0.25">
      <c r="A80" t="s">
        <v>725</v>
      </c>
      <c r="B80" t="s">
        <v>521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1">
        <v>0</v>
      </c>
      <c r="I80" s="21"/>
      <c r="J80" s="21">
        <v>0</v>
      </c>
      <c r="K80" s="21">
        <v>0</v>
      </c>
      <c r="L80" s="22">
        <f t="shared" si="6"/>
        <v>0</v>
      </c>
    </row>
    <row r="81" spans="1:12" x14ac:dyDescent="0.25">
      <c r="C81" s="12"/>
      <c r="D81" s="12"/>
      <c r="E81" s="12"/>
      <c r="F81" s="12"/>
      <c r="G81" s="12"/>
      <c r="H81" s="12"/>
      <c r="I81" s="11"/>
      <c r="J81" s="12"/>
      <c r="K81" s="12"/>
      <c r="L81" s="12"/>
    </row>
    <row r="82" spans="1:12" x14ac:dyDescent="0.25">
      <c r="C82" s="12"/>
      <c r="D82" s="12"/>
      <c r="E82" s="12"/>
      <c r="F82" s="12"/>
      <c r="G82" s="12"/>
      <c r="H82" s="12"/>
      <c r="I82" s="11"/>
      <c r="J82" s="12"/>
      <c r="K82" s="12"/>
      <c r="L82" s="12"/>
    </row>
    <row r="83" spans="1:12" x14ac:dyDescent="0.25">
      <c r="A83" t="s">
        <v>109</v>
      </c>
      <c r="C83" s="12"/>
      <c r="D83" s="12"/>
      <c r="E83" s="12"/>
      <c r="F83" s="12"/>
      <c r="G83" s="12"/>
      <c r="H83" s="12"/>
      <c r="I83" s="11"/>
      <c r="J83" s="12"/>
      <c r="K83" s="12"/>
      <c r="L83" s="12"/>
    </row>
    <row r="84" spans="1:12" x14ac:dyDescent="0.25">
      <c r="B84" t="s">
        <v>501</v>
      </c>
      <c r="C84" s="22">
        <f t="shared" ref="C84:H84" si="7">SUM(C75:C80)</f>
        <v>56152</v>
      </c>
      <c r="D84" s="22">
        <f t="shared" si="7"/>
        <v>66626</v>
      </c>
      <c r="E84" s="22">
        <f t="shared" si="7"/>
        <v>80738</v>
      </c>
      <c r="F84" s="22">
        <f t="shared" si="7"/>
        <v>89000</v>
      </c>
      <c r="G84" s="22">
        <f t="shared" si="7"/>
        <v>71053.8</v>
      </c>
      <c r="H84" s="22">
        <f t="shared" si="7"/>
        <v>122000</v>
      </c>
      <c r="I84" s="21"/>
      <c r="J84" s="22">
        <f>SUM(J75:J80)</f>
        <v>106500</v>
      </c>
      <c r="K84" s="22">
        <f>SUM(K75:K80)</f>
        <v>0</v>
      </c>
      <c r="L84" s="22">
        <f>SUM(L75:L80)</f>
        <v>106500</v>
      </c>
    </row>
    <row r="85" spans="1:12" x14ac:dyDescent="0.25">
      <c r="C85" s="12"/>
      <c r="D85" s="12"/>
      <c r="E85" s="12"/>
      <c r="F85" s="12"/>
      <c r="G85" s="12"/>
      <c r="H85" s="12"/>
      <c r="I85" s="11"/>
      <c r="J85" s="12"/>
      <c r="K85" s="12"/>
      <c r="L85" s="12"/>
    </row>
    <row r="86" spans="1:12" x14ac:dyDescent="0.25">
      <c r="A86" t="s">
        <v>530</v>
      </c>
      <c r="C86" s="12"/>
      <c r="D86" s="12"/>
      <c r="E86" s="12"/>
      <c r="F86" s="12"/>
      <c r="G86" s="12"/>
      <c r="H86" s="12"/>
      <c r="I86" s="11"/>
      <c r="J86" s="12"/>
      <c r="K86" s="12"/>
      <c r="L86" s="12"/>
    </row>
    <row r="87" spans="1:12" x14ac:dyDescent="0.25">
      <c r="A87" t="s">
        <v>18</v>
      </c>
      <c r="B87" t="s">
        <v>526</v>
      </c>
      <c r="C87" s="12"/>
      <c r="D87" s="12"/>
      <c r="E87" s="12"/>
      <c r="F87" s="12"/>
      <c r="G87" s="12"/>
      <c r="H87" s="12"/>
      <c r="I87" s="11"/>
      <c r="J87" s="12"/>
      <c r="K87" s="12"/>
      <c r="L87" s="12"/>
    </row>
    <row r="88" spans="1:12" x14ac:dyDescent="0.25">
      <c r="A88" t="s">
        <v>726</v>
      </c>
      <c r="B88" t="s">
        <v>534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1">
        <v>0</v>
      </c>
      <c r="I88" s="21"/>
      <c r="J88" s="21">
        <v>0</v>
      </c>
      <c r="K88" s="21">
        <v>0</v>
      </c>
      <c r="L88" s="22">
        <f t="shared" ref="L88:L89" si="8">SUM(J88+K88)</f>
        <v>0</v>
      </c>
    </row>
    <row r="89" spans="1:12" x14ac:dyDescent="0.25">
      <c r="A89" t="s">
        <v>727</v>
      </c>
      <c r="B89" t="s">
        <v>728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1">
        <v>0</v>
      </c>
      <c r="I89" s="21"/>
      <c r="J89" s="21">
        <v>0</v>
      </c>
      <c r="K89" s="21">
        <v>0</v>
      </c>
      <c r="L89" s="22">
        <f t="shared" si="8"/>
        <v>0</v>
      </c>
    </row>
    <row r="90" spans="1:12" x14ac:dyDescent="0.25">
      <c r="C90" s="12"/>
      <c r="D90" s="12"/>
      <c r="E90" s="12"/>
      <c r="F90" s="12"/>
      <c r="G90" s="12"/>
      <c r="H90" s="12"/>
      <c r="I90" s="11"/>
      <c r="J90" s="12"/>
      <c r="K90" s="12"/>
      <c r="L90" s="12"/>
    </row>
    <row r="91" spans="1:12" x14ac:dyDescent="0.25">
      <c r="C91" s="12"/>
      <c r="D91" s="12"/>
      <c r="E91" s="12"/>
      <c r="F91" s="12"/>
      <c r="G91" s="12"/>
      <c r="H91" s="12"/>
      <c r="I91" s="11"/>
      <c r="J91" s="12"/>
      <c r="K91" s="12"/>
      <c r="L91" s="12"/>
    </row>
    <row r="92" spans="1:12" x14ac:dyDescent="0.25">
      <c r="C92" s="12"/>
      <c r="D92" s="12"/>
      <c r="E92" s="12"/>
      <c r="F92" s="12"/>
      <c r="G92" s="12"/>
      <c r="H92" s="12"/>
      <c r="I92" s="11"/>
      <c r="J92" s="12"/>
      <c r="K92" s="12"/>
      <c r="L92" s="12"/>
    </row>
    <row r="93" spans="1:12" x14ac:dyDescent="0.25">
      <c r="B93" t="s">
        <v>530</v>
      </c>
      <c r="C93" s="22">
        <f t="shared" ref="C93:H93" si="9">SUM(C88:C89)</f>
        <v>0</v>
      </c>
      <c r="D93" s="22">
        <f t="shared" si="9"/>
        <v>0</v>
      </c>
      <c r="E93" s="22">
        <f t="shared" si="9"/>
        <v>0</v>
      </c>
      <c r="F93" s="22">
        <f t="shared" si="9"/>
        <v>0</v>
      </c>
      <c r="G93" s="22">
        <f t="shared" si="9"/>
        <v>0</v>
      </c>
      <c r="H93" s="22">
        <f t="shared" si="9"/>
        <v>0</v>
      </c>
      <c r="I93" s="21"/>
      <c r="J93" s="22">
        <f>SUM(J88:J89)</f>
        <v>0</v>
      </c>
      <c r="K93" s="22">
        <f>SUM(K88:K89)</f>
        <v>0</v>
      </c>
      <c r="L93" s="22">
        <f>SUM(L88:L89)</f>
        <v>0</v>
      </c>
    </row>
    <row r="94" spans="1:12" x14ac:dyDescent="0.25">
      <c r="C94" s="12"/>
      <c r="D94" s="12"/>
      <c r="E94" s="12"/>
      <c r="F94" s="12"/>
      <c r="G94" s="12"/>
      <c r="H94" s="12"/>
      <c r="I94" s="11"/>
      <c r="J94" s="12"/>
      <c r="K94" s="12"/>
      <c r="L94" s="12"/>
    </row>
    <row r="95" spans="1:12" x14ac:dyDescent="0.25">
      <c r="C95" s="12"/>
      <c r="D95" s="12"/>
      <c r="E95" s="12"/>
      <c r="F95" s="12"/>
      <c r="G95" s="12"/>
      <c r="H95" s="12"/>
      <c r="I95" s="11"/>
      <c r="J95" s="12"/>
      <c r="K95" s="12"/>
      <c r="L95" s="12"/>
    </row>
    <row r="96" spans="1:12" x14ac:dyDescent="0.25">
      <c r="A96" t="s">
        <v>109</v>
      </c>
      <c r="C96" s="12"/>
      <c r="D96" s="12"/>
      <c r="E96" s="12"/>
      <c r="F96" s="12"/>
      <c r="G96" s="12"/>
      <c r="H96" s="12"/>
      <c r="I96" s="11"/>
      <c r="J96" s="12"/>
      <c r="K96" s="12"/>
      <c r="L96" s="12"/>
    </row>
    <row r="97" spans="1:12" x14ac:dyDescent="0.25">
      <c r="A97">
        <v>13</v>
      </c>
      <c r="B97" t="s">
        <v>3558</v>
      </c>
      <c r="C97" s="22">
        <f t="shared" ref="C97:H97" si="10">C40+C60+C71+C84+C93</f>
        <v>297441</v>
      </c>
      <c r="D97" s="22">
        <f t="shared" si="10"/>
        <v>412206</v>
      </c>
      <c r="E97" s="22">
        <f t="shared" si="10"/>
        <v>693094</v>
      </c>
      <c r="F97" s="22">
        <f t="shared" si="10"/>
        <v>675039</v>
      </c>
      <c r="G97" s="22">
        <f t="shared" si="10"/>
        <v>373678.92999999993</v>
      </c>
      <c r="H97" s="22">
        <f t="shared" si="10"/>
        <v>466538</v>
      </c>
      <c r="I97" s="21"/>
      <c r="J97" s="22">
        <f>J40+J60+J71+J84+J93</f>
        <v>524300.21200000006</v>
      </c>
      <c r="K97" s="22">
        <f>K40+K60+K71+K84+K93</f>
        <v>0</v>
      </c>
      <c r="L97" s="22">
        <f>L40+L60+L71+L84+L93</f>
        <v>478540.212</v>
      </c>
    </row>
  </sheetData>
  <sheetProtection algorithmName="SHA-512" hashValue="ejMpO2NvWhTm50oKBi7W+0jARDIG7D1Pc7vtpo3WAlqDAjRblUxzOYnnLPbpMz+BJaH6Gx7H7sqBzfB65wF2yQ==" saltValue="SL8fdIVJrW+AQ2kKyVjeqQ==" spinCount="100000" sheet="1" insertRows="0"/>
  <pageMargins left="0.25" right="0.25" top="0.75" bottom="0.75" header="0.3" footer="0.3"/>
  <pageSetup scale="75" fitToHeight="0" orientation="landscape" r:id="rId1"/>
  <rowBreaks count="2" manualBreakCount="2">
    <brk id="40" max="16383" man="1"/>
    <brk id="69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7D17-894F-4D31-BD65-0D07463E6D12}">
  <sheetPr>
    <pageSetUpPr fitToPage="1"/>
  </sheetPr>
  <dimension ref="A1:L97"/>
  <sheetViews>
    <sheetView zoomScaleNormal="100" workbookViewId="0">
      <pane ySplit="7" topLeftCell="A76" activePane="bottomLeft" state="frozen"/>
      <selection pane="bottomLeft" activeCell="J21" sqref="J21"/>
    </sheetView>
  </sheetViews>
  <sheetFormatPr defaultRowHeight="15" x14ac:dyDescent="0.25"/>
  <cols>
    <col min="2" max="2" width="32.5703125" style="7" bestFit="1" customWidth="1"/>
    <col min="3" max="3" width="13.140625" bestFit="1" customWidth="1"/>
    <col min="4" max="4" width="14.85546875" bestFit="1" customWidth="1"/>
    <col min="5" max="5" width="13.85546875" bestFit="1" customWidth="1"/>
    <col min="6" max="6" width="14" bestFit="1" customWidth="1"/>
    <col min="7" max="7" width="12.7109375" bestFit="1" customWidth="1"/>
    <col min="8" max="8" width="13.140625" style="7" bestFit="1" customWidth="1"/>
    <col min="9" max="9" width="11.5703125" style="7" bestFit="1" customWidth="1"/>
    <col min="10" max="10" width="13.140625" style="7" bestFit="1" customWidth="1"/>
    <col min="11" max="11" width="14.5703125" style="7" bestFit="1" customWidth="1"/>
    <col min="12" max="12" width="14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5" t="s">
        <v>2</v>
      </c>
      <c r="G3" s="3" t="s">
        <v>3410</v>
      </c>
      <c r="H3" s="7" t="s">
        <v>4</v>
      </c>
      <c r="J3" s="8" t="s">
        <v>3411</v>
      </c>
      <c r="K3" s="9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9" t="s">
        <v>12</v>
      </c>
      <c r="I4" s="9"/>
      <c r="J4" s="9" t="s">
        <v>3414</v>
      </c>
      <c r="K4" s="9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9" t="s">
        <v>17</v>
      </c>
      <c r="I5" s="9"/>
      <c r="J5" s="9" t="s">
        <v>13</v>
      </c>
      <c r="K5" s="9" t="s">
        <v>3417</v>
      </c>
      <c r="L5" s="3" t="s">
        <v>13</v>
      </c>
    </row>
    <row r="6" spans="1:12" x14ac:dyDescent="0.25">
      <c r="A6" t="s">
        <v>18</v>
      </c>
      <c r="B6" s="7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s="7" t="s">
        <v>20</v>
      </c>
      <c r="J6" s="7" t="s">
        <v>24</v>
      </c>
      <c r="K6" s="7" t="s">
        <v>20</v>
      </c>
      <c r="L6" t="s">
        <v>20</v>
      </c>
    </row>
    <row r="8" spans="1:12" x14ac:dyDescent="0.25">
      <c r="A8" t="s">
        <v>3559</v>
      </c>
    </row>
    <row r="11" spans="1:12" x14ac:dyDescent="0.25">
      <c r="A11" t="s">
        <v>441</v>
      </c>
    </row>
    <row r="12" spans="1:12" x14ac:dyDescent="0.25">
      <c r="A12" t="s">
        <v>18</v>
      </c>
      <c r="B12" s="7" t="s">
        <v>228</v>
      </c>
    </row>
    <row r="13" spans="1:12" x14ac:dyDescent="0.25">
      <c r="A13" t="s">
        <v>732</v>
      </c>
      <c r="B13" s="7" t="s">
        <v>569</v>
      </c>
      <c r="C13" s="20">
        <v>797</v>
      </c>
      <c r="D13" s="20">
        <v>918</v>
      </c>
      <c r="E13" s="20">
        <v>0</v>
      </c>
      <c r="F13" s="20">
        <v>0</v>
      </c>
      <c r="G13" s="20">
        <v>0</v>
      </c>
      <c r="H13" s="21">
        <v>0</v>
      </c>
      <c r="I13" s="21"/>
      <c r="J13" s="21">
        <v>0</v>
      </c>
      <c r="K13" s="21">
        <v>0</v>
      </c>
      <c r="L13" s="20">
        <f>SUM(J13+K13)</f>
        <v>0</v>
      </c>
    </row>
    <row r="14" spans="1:12" x14ac:dyDescent="0.25">
      <c r="A14" t="s">
        <v>733</v>
      </c>
      <c r="B14" s="7" t="s">
        <v>396</v>
      </c>
      <c r="C14" s="20">
        <v>9</v>
      </c>
      <c r="D14" s="20">
        <v>9</v>
      </c>
      <c r="E14" s="20">
        <v>117</v>
      </c>
      <c r="F14" s="20">
        <v>252</v>
      </c>
      <c r="G14" s="20">
        <v>180</v>
      </c>
      <c r="H14" s="21">
        <v>180</v>
      </c>
      <c r="I14" s="21"/>
      <c r="J14" s="21">
        <v>63</v>
      </c>
      <c r="K14" s="21">
        <v>0</v>
      </c>
      <c r="L14" s="20">
        <f t="shared" ref="L14:L29" si="0">SUM(J14+K14)</f>
        <v>63</v>
      </c>
    </row>
    <row r="15" spans="1:12" x14ac:dyDescent="0.25">
      <c r="A15" t="s">
        <v>734</v>
      </c>
      <c r="B15" s="7" t="s">
        <v>398</v>
      </c>
      <c r="C15" s="20">
        <v>4724</v>
      </c>
      <c r="D15" s="20">
        <v>6325</v>
      </c>
      <c r="E15" s="20">
        <v>6636</v>
      </c>
      <c r="F15" s="20">
        <v>7694</v>
      </c>
      <c r="G15" s="20">
        <v>6323.88</v>
      </c>
      <c r="H15" s="21">
        <v>7350</v>
      </c>
      <c r="I15" s="21"/>
      <c r="J15" s="21">
        <v>8879.67</v>
      </c>
      <c r="K15" s="21">
        <v>0</v>
      </c>
      <c r="L15" s="20">
        <f t="shared" si="0"/>
        <v>8879.67</v>
      </c>
    </row>
    <row r="16" spans="1:12" x14ac:dyDescent="0.25">
      <c r="A16" t="s">
        <v>735</v>
      </c>
      <c r="B16" s="7" t="s">
        <v>400</v>
      </c>
      <c r="C16" s="20">
        <v>6048</v>
      </c>
      <c r="D16" s="20">
        <v>7858</v>
      </c>
      <c r="E16" s="20">
        <v>8335</v>
      </c>
      <c r="F16" s="20">
        <v>9545</v>
      </c>
      <c r="G16" s="20">
        <v>6324.76</v>
      </c>
      <c r="H16" s="21">
        <v>7500</v>
      </c>
      <c r="I16" s="21"/>
      <c r="J16" s="21">
        <f>2576.63+7958.62</f>
        <v>10535.25</v>
      </c>
      <c r="K16" s="21">
        <v>0</v>
      </c>
      <c r="L16" s="20">
        <f t="shared" si="0"/>
        <v>10535.25</v>
      </c>
    </row>
    <row r="17" spans="1:12" x14ac:dyDescent="0.25">
      <c r="A17" t="s">
        <v>736</v>
      </c>
      <c r="B17" s="7" t="s">
        <v>402</v>
      </c>
      <c r="C17" s="20">
        <v>19909</v>
      </c>
      <c r="D17" s="20">
        <v>19306</v>
      </c>
      <c r="E17" s="20">
        <v>13693</v>
      </c>
      <c r="F17" s="20">
        <v>20538</v>
      </c>
      <c r="G17" s="20">
        <v>8853.7099999999991</v>
      </c>
      <c r="H17" s="21">
        <v>9900</v>
      </c>
      <c r="I17" s="21"/>
      <c r="J17" s="21">
        <v>10594.2</v>
      </c>
      <c r="K17" s="21">
        <v>0</v>
      </c>
      <c r="L17" s="20">
        <f t="shared" si="0"/>
        <v>10594.2</v>
      </c>
    </row>
    <row r="18" spans="1:12" x14ac:dyDescent="0.25">
      <c r="A18" t="s">
        <v>737</v>
      </c>
      <c r="B18" s="7" t="s">
        <v>404</v>
      </c>
      <c r="C18" s="20">
        <v>718</v>
      </c>
      <c r="D18" s="20">
        <v>717</v>
      </c>
      <c r="E18" s="20">
        <v>442</v>
      </c>
      <c r="F18" s="20">
        <v>654</v>
      </c>
      <c r="G18" s="20">
        <v>504.35</v>
      </c>
      <c r="H18" s="21">
        <v>650</v>
      </c>
      <c r="I18" s="21"/>
      <c r="J18" s="21">
        <v>720</v>
      </c>
      <c r="K18" s="21">
        <v>0</v>
      </c>
      <c r="L18" s="20">
        <f t="shared" si="0"/>
        <v>720</v>
      </c>
    </row>
    <row r="19" spans="1:12" x14ac:dyDescent="0.25">
      <c r="A19" t="s">
        <v>738</v>
      </c>
      <c r="B19" s="7" t="s">
        <v>406</v>
      </c>
      <c r="C19" s="20">
        <v>442</v>
      </c>
      <c r="D19" s="20">
        <v>1160</v>
      </c>
      <c r="E19" s="20">
        <v>442</v>
      </c>
      <c r="F19" s="20">
        <v>486</v>
      </c>
      <c r="G19" s="20">
        <v>1007.36</v>
      </c>
      <c r="H19" s="21">
        <v>1007.36</v>
      </c>
      <c r="I19" s="21"/>
      <c r="J19" s="21">
        <f>G19*10%+G19</f>
        <v>1108.096</v>
      </c>
      <c r="K19" s="21">
        <v>0</v>
      </c>
      <c r="L19" s="20">
        <f t="shared" si="0"/>
        <v>1108.096</v>
      </c>
    </row>
    <row r="20" spans="1:12" x14ac:dyDescent="0.25">
      <c r="A20" t="s">
        <v>739</v>
      </c>
      <c r="B20" s="7" t="s">
        <v>740</v>
      </c>
      <c r="C20" s="20">
        <v>69035</v>
      </c>
      <c r="D20" s="20">
        <v>89932</v>
      </c>
      <c r="E20" s="20">
        <v>90645</v>
      </c>
      <c r="F20" s="20">
        <v>95303</v>
      </c>
      <c r="G20" s="20">
        <v>82271.48</v>
      </c>
      <c r="H20" s="21">
        <v>95540</v>
      </c>
      <c r="I20" s="21"/>
      <c r="J20" s="21">
        <v>115000</v>
      </c>
      <c r="K20" s="21">
        <v>0</v>
      </c>
      <c r="L20" s="20">
        <f t="shared" si="0"/>
        <v>115000</v>
      </c>
    </row>
    <row r="21" spans="1:12" x14ac:dyDescent="0.25">
      <c r="A21" t="s">
        <v>741</v>
      </c>
      <c r="B21" s="7" t="s">
        <v>422</v>
      </c>
      <c r="C21" s="20">
        <v>4200</v>
      </c>
      <c r="D21" s="20">
        <v>4200</v>
      </c>
      <c r="E21" s="20">
        <v>2524</v>
      </c>
      <c r="F21" s="20">
        <v>4200</v>
      </c>
      <c r="G21" s="20">
        <v>0</v>
      </c>
      <c r="H21" s="21">
        <v>0</v>
      </c>
      <c r="I21" s="21"/>
      <c r="J21" s="21">
        <v>0</v>
      </c>
      <c r="K21" s="21">
        <v>0</v>
      </c>
      <c r="L21" s="20">
        <f t="shared" si="0"/>
        <v>0</v>
      </c>
    </row>
    <row r="22" spans="1:12" x14ac:dyDescent="0.25">
      <c r="A22" t="s">
        <v>742</v>
      </c>
      <c r="B22" s="7" t="s">
        <v>690</v>
      </c>
      <c r="C22" s="20">
        <v>69</v>
      </c>
      <c r="D22" s="20">
        <v>104</v>
      </c>
      <c r="E22" s="20">
        <v>138</v>
      </c>
      <c r="F22" s="20">
        <v>-68</v>
      </c>
      <c r="G22" s="20">
        <v>34.6</v>
      </c>
      <c r="H22" s="21">
        <v>35</v>
      </c>
      <c r="I22" s="21"/>
      <c r="J22" s="21">
        <v>69.2</v>
      </c>
      <c r="K22" s="21">
        <v>0</v>
      </c>
      <c r="L22" s="20">
        <f t="shared" si="0"/>
        <v>69.2</v>
      </c>
    </row>
    <row r="23" spans="1:12" x14ac:dyDescent="0.25">
      <c r="A23" t="s">
        <v>743</v>
      </c>
      <c r="B23" s="7" t="s">
        <v>426</v>
      </c>
      <c r="C23" s="20">
        <v>405</v>
      </c>
      <c r="D23" s="20">
        <v>405</v>
      </c>
      <c r="E23" s="20">
        <v>405</v>
      </c>
      <c r="F23" s="20">
        <v>405</v>
      </c>
      <c r="G23" s="20">
        <v>0</v>
      </c>
      <c r="H23" s="21">
        <v>0</v>
      </c>
      <c r="I23" s="21"/>
      <c r="J23" s="21">
        <v>404.91</v>
      </c>
      <c r="K23" s="21">
        <v>0</v>
      </c>
      <c r="L23" s="20">
        <f t="shared" si="0"/>
        <v>404.91</v>
      </c>
    </row>
    <row r="24" spans="1:12" x14ac:dyDescent="0.25">
      <c r="A24" t="s">
        <v>744</v>
      </c>
      <c r="B24" s="7" t="s">
        <v>428</v>
      </c>
      <c r="C24" s="20">
        <v>600</v>
      </c>
      <c r="D24" s="20">
        <v>600</v>
      </c>
      <c r="E24" s="20">
        <v>361</v>
      </c>
      <c r="F24" s="20">
        <v>600</v>
      </c>
      <c r="G24" s="20">
        <v>484.68</v>
      </c>
      <c r="H24" s="21">
        <v>595</v>
      </c>
      <c r="I24" s="21"/>
      <c r="J24" s="21">
        <v>600</v>
      </c>
      <c r="K24" s="21">
        <v>0</v>
      </c>
      <c r="L24" s="20">
        <f t="shared" si="0"/>
        <v>600</v>
      </c>
    </row>
    <row r="25" spans="1:12" x14ac:dyDescent="0.25">
      <c r="A25" t="s">
        <v>745</v>
      </c>
      <c r="B25" s="7" t="s">
        <v>430</v>
      </c>
      <c r="C25" s="20">
        <v>35</v>
      </c>
      <c r="D25" s="20">
        <v>35</v>
      </c>
      <c r="E25" s="20">
        <v>35</v>
      </c>
      <c r="F25" s="20">
        <v>35</v>
      </c>
      <c r="G25" s="20">
        <v>34.6</v>
      </c>
      <c r="H25" s="21">
        <v>35</v>
      </c>
      <c r="I25" s="21"/>
      <c r="J25" s="21">
        <v>0</v>
      </c>
      <c r="K25" s="21">
        <v>0</v>
      </c>
      <c r="L25" s="20">
        <f t="shared" si="0"/>
        <v>0</v>
      </c>
    </row>
    <row r="26" spans="1:12" x14ac:dyDescent="0.25">
      <c r="A26" t="s">
        <v>746</v>
      </c>
      <c r="B26" s="7" t="s">
        <v>747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1">
        <v>0</v>
      </c>
      <c r="I26" s="21"/>
      <c r="J26" s="21">
        <v>0</v>
      </c>
      <c r="K26" s="21">
        <v>0</v>
      </c>
      <c r="L26" s="20">
        <f t="shared" si="0"/>
        <v>0</v>
      </c>
    </row>
    <row r="27" spans="1:12" x14ac:dyDescent="0.25">
      <c r="A27" t="s">
        <v>749</v>
      </c>
      <c r="B27" s="7" t="s">
        <v>434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1">
        <v>0</v>
      </c>
      <c r="I27" s="21"/>
      <c r="J27" s="21">
        <v>0</v>
      </c>
      <c r="K27" s="21">
        <v>0</v>
      </c>
      <c r="L27" s="20">
        <f t="shared" si="0"/>
        <v>0</v>
      </c>
    </row>
    <row r="28" spans="1:12" x14ac:dyDescent="0.25">
      <c r="A28" t="s">
        <v>750</v>
      </c>
      <c r="B28" s="7" t="s">
        <v>436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1">
        <v>0</v>
      </c>
      <c r="I28" s="21"/>
      <c r="J28" s="21">
        <v>0</v>
      </c>
      <c r="K28" s="21">
        <v>0</v>
      </c>
      <c r="L28" s="20">
        <f t="shared" si="0"/>
        <v>0</v>
      </c>
    </row>
    <row r="29" spans="1:12" x14ac:dyDescent="0.25">
      <c r="A29" t="s">
        <v>751</v>
      </c>
      <c r="B29" s="7" t="s">
        <v>607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1">
        <v>0</v>
      </c>
      <c r="I29" s="21"/>
      <c r="J29" s="21">
        <v>0</v>
      </c>
      <c r="K29" s="21">
        <v>0</v>
      </c>
      <c r="L29" s="20">
        <f t="shared" si="0"/>
        <v>0</v>
      </c>
    </row>
    <row r="30" spans="1:12" x14ac:dyDescent="0.25">
      <c r="C30" s="10"/>
      <c r="D30" s="10"/>
      <c r="E30" s="10"/>
      <c r="F30" s="10"/>
      <c r="G30" s="10"/>
      <c r="H30" s="11"/>
      <c r="I30" s="11"/>
      <c r="J30" s="11"/>
      <c r="K30" s="11"/>
      <c r="L30" s="10"/>
    </row>
    <row r="31" spans="1:12" x14ac:dyDescent="0.25">
      <c r="C31" s="10"/>
      <c r="D31" s="10"/>
      <c r="E31" s="10"/>
      <c r="F31" s="10"/>
      <c r="G31" s="10"/>
      <c r="H31" s="11"/>
      <c r="I31" s="11"/>
      <c r="J31" s="11"/>
      <c r="K31" s="11"/>
      <c r="L31" s="10"/>
    </row>
    <row r="32" spans="1:12" x14ac:dyDescent="0.25">
      <c r="A32" t="s">
        <v>109</v>
      </c>
      <c r="C32" s="10"/>
      <c r="D32" s="10"/>
      <c r="E32" s="10"/>
      <c r="F32" s="10"/>
      <c r="G32" s="10"/>
      <c r="H32" s="11"/>
      <c r="I32" s="11"/>
      <c r="J32" s="11"/>
      <c r="K32" s="11"/>
      <c r="L32" s="10"/>
    </row>
    <row r="33" spans="1:12" x14ac:dyDescent="0.25">
      <c r="B33" t="s">
        <v>441</v>
      </c>
      <c r="C33" s="20">
        <f t="shared" ref="C33:G33" si="1">SUM(C13:C29)</f>
        <v>106991</v>
      </c>
      <c r="D33" s="20">
        <f t="shared" si="1"/>
        <v>131569</v>
      </c>
      <c r="E33" s="20">
        <f t="shared" si="1"/>
        <v>123773</v>
      </c>
      <c r="F33" s="20">
        <f t="shared" si="1"/>
        <v>139644</v>
      </c>
      <c r="G33" s="20">
        <f t="shared" si="1"/>
        <v>106019.42</v>
      </c>
      <c r="H33" s="20">
        <f>SUM(H13:H29)</f>
        <v>122792.36</v>
      </c>
      <c r="I33" s="21"/>
      <c r="J33" s="20">
        <f>SUM(J13:J29)</f>
        <v>147974.32600000003</v>
      </c>
      <c r="K33" s="20">
        <f>SUM(K13:K29)</f>
        <v>0</v>
      </c>
      <c r="L33" s="20">
        <f>SUM(L13:L29)</f>
        <v>147974.32600000003</v>
      </c>
    </row>
    <row r="34" spans="1:12" x14ac:dyDescent="0.25">
      <c r="C34" s="10"/>
      <c r="D34" s="10"/>
      <c r="E34" s="10"/>
      <c r="F34" s="10"/>
      <c r="G34" s="10"/>
      <c r="H34" s="11"/>
      <c r="I34" s="11"/>
      <c r="J34" s="11"/>
      <c r="K34" s="11"/>
      <c r="L34" s="10"/>
    </row>
    <row r="35" spans="1:12" x14ac:dyDescent="0.25">
      <c r="A35" t="s">
        <v>478</v>
      </c>
      <c r="C35" s="10"/>
      <c r="D35" s="10"/>
      <c r="E35" s="10"/>
      <c r="F35" s="10"/>
      <c r="G35" s="10"/>
      <c r="H35" s="11"/>
      <c r="I35" s="11"/>
      <c r="J35" s="11"/>
      <c r="K35" s="11"/>
      <c r="L35" s="10"/>
    </row>
    <row r="36" spans="1:12" x14ac:dyDescent="0.25">
      <c r="A36" t="s">
        <v>18</v>
      </c>
      <c r="B36" s="7" t="s">
        <v>21</v>
      </c>
      <c r="C36" s="10"/>
      <c r="D36" s="10"/>
      <c r="E36" s="10"/>
      <c r="F36" s="10"/>
      <c r="G36" s="10"/>
      <c r="H36" s="11"/>
      <c r="I36" s="11"/>
      <c r="J36" s="11"/>
      <c r="K36" s="11"/>
      <c r="L36" s="10"/>
    </row>
    <row r="37" spans="1:12" x14ac:dyDescent="0.25">
      <c r="A37" t="s">
        <v>752</v>
      </c>
      <c r="B37" s="7" t="s">
        <v>445</v>
      </c>
      <c r="C37" s="20">
        <v>0</v>
      </c>
      <c r="D37" s="20">
        <v>0</v>
      </c>
      <c r="E37" s="20">
        <v>5000</v>
      </c>
      <c r="F37" s="20">
        <v>0</v>
      </c>
      <c r="G37" s="20">
        <v>0</v>
      </c>
      <c r="H37" s="21">
        <v>0</v>
      </c>
      <c r="I37" s="21"/>
      <c r="J37" s="21">
        <v>0</v>
      </c>
      <c r="K37" s="21">
        <v>0</v>
      </c>
      <c r="L37" s="20">
        <f t="shared" ref="L37:L53" si="2">SUM(J37+K37)</f>
        <v>0</v>
      </c>
    </row>
    <row r="38" spans="1:12" x14ac:dyDescent="0.25">
      <c r="A38" t="s">
        <v>753</v>
      </c>
      <c r="B38" s="7" t="s">
        <v>447</v>
      </c>
      <c r="C38" s="20">
        <v>0</v>
      </c>
      <c r="D38" s="20">
        <v>0</v>
      </c>
      <c r="E38" s="20">
        <v>0</v>
      </c>
      <c r="F38" s="20">
        <v>0</v>
      </c>
      <c r="G38" s="20">
        <v>86.26</v>
      </c>
      <c r="H38" s="21">
        <v>86</v>
      </c>
      <c r="I38" s="21"/>
      <c r="J38" s="21">
        <v>0</v>
      </c>
      <c r="K38" s="21">
        <v>0</v>
      </c>
      <c r="L38" s="20">
        <f t="shared" si="2"/>
        <v>0</v>
      </c>
    </row>
    <row r="39" spans="1:12" x14ac:dyDescent="0.25">
      <c r="A39" t="s">
        <v>754</v>
      </c>
      <c r="B39" s="7" t="s">
        <v>449</v>
      </c>
      <c r="C39" s="20">
        <v>0</v>
      </c>
      <c r="D39" s="20">
        <v>0</v>
      </c>
      <c r="E39" s="20">
        <v>0</v>
      </c>
      <c r="F39" s="20">
        <v>500</v>
      </c>
      <c r="G39" s="20">
        <v>0</v>
      </c>
      <c r="H39" s="21">
        <v>0</v>
      </c>
      <c r="I39" s="21"/>
      <c r="J39" s="21">
        <v>500</v>
      </c>
      <c r="K39" s="21">
        <v>0</v>
      </c>
      <c r="L39" s="20">
        <f t="shared" si="2"/>
        <v>500</v>
      </c>
    </row>
    <row r="40" spans="1:12" x14ac:dyDescent="0.25">
      <c r="A40" t="s">
        <v>755</v>
      </c>
      <c r="B40" s="7" t="s">
        <v>451</v>
      </c>
      <c r="C40" s="20">
        <v>0</v>
      </c>
      <c r="D40" s="20">
        <v>688</v>
      </c>
      <c r="E40" s="20">
        <v>0</v>
      </c>
      <c r="F40" s="20">
        <v>7000</v>
      </c>
      <c r="G40" s="20">
        <v>6.5</v>
      </c>
      <c r="H40" s="21">
        <v>2000</v>
      </c>
      <c r="I40" s="21"/>
      <c r="J40" s="21">
        <v>6000</v>
      </c>
      <c r="K40" s="21">
        <v>0</v>
      </c>
      <c r="L40" s="20">
        <f t="shared" si="2"/>
        <v>6000</v>
      </c>
    </row>
    <row r="41" spans="1:12" x14ac:dyDescent="0.25">
      <c r="A41" t="s">
        <v>756</v>
      </c>
      <c r="B41" s="7" t="s">
        <v>457</v>
      </c>
      <c r="C41" s="20">
        <v>0</v>
      </c>
      <c r="D41" s="20">
        <v>279</v>
      </c>
      <c r="E41" s="20">
        <v>299</v>
      </c>
      <c r="F41" s="20">
        <v>300</v>
      </c>
      <c r="G41" s="20">
        <v>135</v>
      </c>
      <c r="H41" s="21">
        <v>300</v>
      </c>
      <c r="I41" s="21"/>
      <c r="J41" s="21">
        <v>300</v>
      </c>
      <c r="K41" s="21">
        <v>0</v>
      </c>
      <c r="L41" s="20">
        <f t="shared" si="2"/>
        <v>300</v>
      </c>
    </row>
    <row r="42" spans="1:12" x14ac:dyDescent="0.25">
      <c r="B42" s="7" t="s">
        <v>3560</v>
      </c>
      <c r="C42" s="20"/>
      <c r="D42" s="20"/>
      <c r="E42" s="20"/>
      <c r="F42" s="20"/>
      <c r="G42" s="20"/>
      <c r="H42" s="21"/>
      <c r="I42" s="21">
        <v>100</v>
      </c>
      <c r="J42" s="21"/>
      <c r="K42" s="21"/>
      <c r="L42" s="20"/>
    </row>
    <row r="43" spans="1:12" x14ac:dyDescent="0.25">
      <c r="B43" s="7" t="s">
        <v>3561</v>
      </c>
      <c r="C43" s="20"/>
      <c r="D43" s="20"/>
      <c r="E43" s="20"/>
      <c r="F43" s="20"/>
      <c r="G43" s="20"/>
      <c r="H43" s="21"/>
      <c r="I43" s="21">
        <v>100</v>
      </c>
      <c r="J43" s="21"/>
      <c r="K43" s="21"/>
      <c r="L43" s="20"/>
    </row>
    <row r="44" spans="1:12" x14ac:dyDescent="0.25">
      <c r="B44" s="7" t="s">
        <v>3562</v>
      </c>
      <c r="C44" s="20"/>
      <c r="D44" s="20"/>
      <c r="E44" s="20"/>
      <c r="F44" s="20"/>
      <c r="G44" s="20"/>
      <c r="H44" s="21"/>
      <c r="I44" s="21">
        <v>100</v>
      </c>
      <c r="J44" s="21"/>
      <c r="K44" s="21"/>
      <c r="L44" s="20"/>
    </row>
    <row r="45" spans="1:12" x14ac:dyDescent="0.25">
      <c r="A45" t="s">
        <v>757</v>
      </c>
      <c r="B45" s="7" t="s">
        <v>459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1">
        <v>0</v>
      </c>
      <c r="I45" s="21"/>
      <c r="J45" s="21">
        <v>0</v>
      </c>
      <c r="K45" s="21">
        <v>0</v>
      </c>
      <c r="L45" s="20">
        <f t="shared" si="2"/>
        <v>0</v>
      </c>
    </row>
    <row r="46" spans="1:12" x14ac:dyDescent="0.25">
      <c r="A46" t="s">
        <v>758</v>
      </c>
      <c r="B46" s="7" t="s">
        <v>461</v>
      </c>
      <c r="C46" s="20">
        <v>840</v>
      </c>
      <c r="D46" s="20">
        <v>0</v>
      </c>
      <c r="E46" s="20">
        <v>0</v>
      </c>
      <c r="F46" s="20">
        <v>0</v>
      </c>
      <c r="G46" s="20">
        <v>0</v>
      </c>
      <c r="H46" s="21">
        <v>0</v>
      </c>
      <c r="I46" s="21"/>
      <c r="J46" s="21">
        <v>0</v>
      </c>
      <c r="K46" s="21">
        <v>0</v>
      </c>
      <c r="L46" s="20">
        <f t="shared" si="2"/>
        <v>0</v>
      </c>
    </row>
    <row r="47" spans="1:12" x14ac:dyDescent="0.25">
      <c r="A47" t="s">
        <v>759</v>
      </c>
      <c r="B47" s="7" t="s">
        <v>547</v>
      </c>
      <c r="C47" s="20">
        <v>0</v>
      </c>
      <c r="D47" s="20">
        <v>3372</v>
      </c>
      <c r="E47" s="20">
        <v>7365</v>
      </c>
      <c r="F47" s="20">
        <v>12000</v>
      </c>
      <c r="G47" s="20">
        <v>5977.31</v>
      </c>
      <c r="H47" s="21">
        <v>12000</v>
      </c>
      <c r="I47" s="21"/>
      <c r="J47" s="21">
        <v>12000</v>
      </c>
      <c r="K47" s="21">
        <v>0</v>
      </c>
      <c r="L47" s="20">
        <f t="shared" si="2"/>
        <v>12000</v>
      </c>
    </row>
    <row r="48" spans="1:12" x14ac:dyDescent="0.25">
      <c r="B48" s="7" t="s">
        <v>3563</v>
      </c>
      <c r="C48" s="20"/>
      <c r="D48" s="20"/>
      <c r="E48" s="20"/>
      <c r="F48" s="20"/>
      <c r="G48" s="20"/>
      <c r="H48" s="21"/>
      <c r="I48" s="21">
        <v>2000</v>
      </c>
      <c r="J48" s="21"/>
      <c r="K48" s="21"/>
      <c r="L48" s="20"/>
    </row>
    <row r="49" spans="1:12" x14ac:dyDescent="0.25">
      <c r="B49" s="7" t="s">
        <v>3564</v>
      </c>
      <c r="C49" s="20"/>
      <c r="D49" s="20"/>
      <c r="E49" s="20"/>
      <c r="F49" s="20"/>
      <c r="G49" s="20"/>
      <c r="H49" s="21"/>
      <c r="I49" s="21">
        <v>6000</v>
      </c>
      <c r="J49" s="21"/>
      <c r="K49" s="21"/>
      <c r="L49" s="20"/>
    </row>
    <row r="50" spans="1:12" x14ac:dyDescent="0.25">
      <c r="B50" s="7" t="s">
        <v>3565</v>
      </c>
      <c r="C50" s="20"/>
      <c r="D50" s="20"/>
      <c r="E50" s="20"/>
      <c r="F50" s="20"/>
      <c r="G50" s="20"/>
      <c r="H50" s="21"/>
      <c r="I50" s="21">
        <v>2000</v>
      </c>
      <c r="J50" s="21"/>
      <c r="K50" s="21"/>
      <c r="L50" s="20"/>
    </row>
    <row r="51" spans="1:12" x14ac:dyDescent="0.25">
      <c r="B51" s="7" t="s">
        <v>3566</v>
      </c>
      <c r="C51" s="20"/>
      <c r="D51" s="20"/>
      <c r="E51" s="20"/>
      <c r="F51" s="20"/>
      <c r="G51" s="20"/>
      <c r="H51" s="21"/>
      <c r="I51" s="21">
        <v>2000</v>
      </c>
      <c r="J51" s="21"/>
      <c r="K51" s="21"/>
      <c r="L51" s="20"/>
    </row>
    <row r="52" spans="1:12" x14ac:dyDescent="0.25">
      <c r="A52" t="s">
        <v>760</v>
      </c>
      <c r="B52" s="7" t="s">
        <v>475</v>
      </c>
      <c r="C52" s="20">
        <v>9182</v>
      </c>
      <c r="D52" s="20">
        <v>321</v>
      </c>
      <c r="E52" s="20">
        <v>1519</v>
      </c>
      <c r="F52" s="20">
        <v>1000</v>
      </c>
      <c r="G52" s="20">
        <v>4396.8599999999997</v>
      </c>
      <c r="H52" s="21">
        <v>5000</v>
      </c>
      <c r="I52" s="21"/>
      <c r="J52" s="21">
        <v>1000</v>
      </c>
      <c r="K52" s="21">
        <v>0</v>
      </c>
      <c r="L52" s="20">
        <f t="shared" si="2"/>
        <v>1000</v>
      </c>
    </row>
    <row r="53" spans="1:12" x14ac:dyDescent="0.25">
      <c r="A53" t="s">
        <v>761</v>
      </c>
      <c r="B53" s="7" t="s">
        <v>762</v>
      </c>
      <c r="C53" s="20">
        <v>0</v>
      </c>
      <c r="D53" s="20">
        <v>0</v>
      </c>
      <c r="E53" s="20">
        <v>0</v>
      </c>
      <c r="F53" s="20">
        <v>500</v>
      </c>
      <c r="G53" s="20">
        <v>459</v>
      </c>
      <c r="H53" s="21">
        <v>500</v>
      </c>
      <c r="I53" s="21"/>
      <c r="J53" s="21">
        <v>250</v>
      </c>
      <c r="K53" s="21">
        <v>0</v>
      </c>
      <c r="L53" s="20">
        <f t="shared" si="2"/>
        <v>250</v>
      </c>
    </row>
    <row r="54" spans="1:12" x14ac:dyDescent="0.25">
      <c r="C54" s="10"/>
      <c r="D54" s="10"/>
      <c r="E54" s="10"/>
      <c r="F54" s="10"/>
      <c r="G54" s="10"/>
      <c r="H54" s="11"/>
      <c r="I54" s="11"/>
      <c r="J54" s="11"/>
      <c r="K54" s="11"/>
      <c r="L54" s="10"/>
    </row>
    <row r="55" spans="1:12" x14ac:dyDescent="0.25">
      <c r="C55" s="10"/>
      <c r="D55" s="10"/>
      <c r="E55" s="10"/>
      <c r="F55" s="10"/>
      <c r="G55" s="10"/>
      <c r="H55" s="11"/>
      <c r="I55" s="11"/>
      <c r="J55" s="11"/>
      <c r="K55" s="11"/>
      <c r="L55" s="10"/>
    </row>
    <row r="56" spans="1:12" x14ac:dyDescent="0.25">
      <c r="A56" t="s">
        <v>109</v>
      </c>
      <c r="C56" s="10"/>
      <c r="D56" s="10"/>
      <c r="E56" s="10"/>
      <c r="F56" s="10"/>
      <c r="G56" s="10"/>
      <c r="H56" s="11"/>
      <c r="I56" s="11"/>
      <c r="J56" s="11"/>
      <c r="K56" s="11"/>
      <c r="L56" s="10"/>
    </row>
    <row r="57" spans="1:12" x14ac:dyDescent="0.25">
      <c r="B57" t="s">
        <v>478</v>
      </c>
      <c r="C57" s="20">
        <f t="shared" ref="C57:H57" si="3">SUM(C37:C53)</f>
        <v>10022</v>
      </c>
      <c r="D57" s="20">
        <f t="shared" si="3"/>
        <v>4660</v>
      </c>
      <c r="E57" s="20">
        <f t="shared" si="3"/>
        <v>14183</v>
      </c>
      <c r="F57" s="20">
        <f t="shared" si="3"/>
        <v>21300</v>
      </c>
      <c r="G57" s="20">
        <f t="shared" si="3"/>
        <v>11060.93</v>
      </c>
      <c r="H57" s="20">
        <f t="shared" si="3"/>
        <v>19886</v>
      </c>
      <c r="I57" s="21"/>
      <c r="J57" s="20">
        <f>SUM(J37:J53)</f>
        <v>20050</v>
      </c>
      <c r="K57" s="20">
        <f>SUM(K37:K53)</f>
        <v>0</v>
      </c>
      <c r="L57" s="20">
        <f>SUM(L37:L53)</f>
        <v>20050</v>
      </c>
    </row>
    <row r="58" spans="1:12" x14ac:dyDescent="0.25">
      <c r="C58" s="10"/>
      <c r="D58" s="10"/>
      <c r="E58" s="10"/>
      <c r="F58" s="10"/>
      <c r="G58" s="10"/>
      <c r="H58" s="11"/>
      <c r="I58" s="11"/>
      <c r="J58" s="11"/>
      <c r="K58" s="11"/>
      <c r="L58" s="10"/>
    </row>
    <row r="59" spans="1:12" x14ac:dyDescent="0.25">
      <c r="A59" t="s">
        <v>489</v>
      </c>
      <c r="C59" s="10"/>
      <c r="D59" s="10"/>
      <c r="E59" s="10"/>
      <c r="F59" s="10"/>
      <c r="G59" s="10"/>
      <c r="H59" s="11"/>
      <c r="I59" s="11"/>
      <c r="J59" s="11"/>
      <c r="K59" s="11"/>
      <c r="L59" s="10"/>
    </row>
    <row r="60" spans="1:12" x14ac:dyDescent="0.25">
      <c r="A60" t="s">
        <v>18</v>
      </c>
      <c r="C60" s="10"/>
      <c r="D60" s="10"/>
      <c r="E60" s="10"/>
      <c r="F60" s="10"/>
      <c r="G60" s="10"/>
      <c r="H60" s="11"/>
      <c r="I60" s="11"/>
      <c r="J60" s="11"/>
      <c r="K60" s="11"/>
      <c r="L60" s="10"/>
    </row>
    <row r="61" spans="1:12" x14ac:dyDescent="0.25">
      <c r="A61" t="s">
        <v>763</v>
      </c>
      <c r="B61" s="7" t="s">
        <v>493</v>
      </c>
      <c r="C61" s="20">
        <v>9</v>
      </c>
      <c r="D61" s="20">
        <v>0</v>
      </c>
      <c r="E61" s="20">
        <v>30</v>
      </c>
      <c r="F61" s="20">
        <v>0</v>
      </c>
      <c r="G61" s="20">
        <v>0</v>
      </c>
      <c r="H61" s="21">
        <v>0</v>
      </c>
      <c r="I61" s="21"/>
      <c r="J61" s="21">
        <v>0</v>
      </c>
      <c r="K61" s="21">
        <v>0</v>
      </c>
      <c r="L61" s="20">
        <f t="shared" ref="L61:L65" si="4">SUM(J61+K61)</f>
        <v>0</v>
      </c>
    </row>
    <row r="62" spans="1:12" x14ac:dyDescent="0.25">
      <c r="A62" t="s">
        <v>764</v>
      </c>
      <c r="B62" s="7" t="s">
        <v>489</v>
      </c>
      <c r="C62" s="20">
        <v>498</v>
      </c>
      <c r="D62" s="20">
        <v>1134</v>
      </c>
      <c r="E62" s="20">
        <v>1020</v>
      </c>
      <c r="F62" s="20">
        <v>1500</v>
      </c>
      <c r="G62" s="20">
        <v>541.66</v>
      </c>
      <c r="H62" s="21">
        <v>1000</v>
      </c>
      <c r="I62" s="21"/>
      <c r="J62" s="21">
        <v>1200</v>
      </c>
      <c r="K62" s="21">
        <v>0</v>
      </c>
      <c r="L62" s="20">
        <f t="shared" si="4"/>
        <v>1200</v>
      </c>
    </row>
    <row r="63" spans="1:12" x14ac:dyDescent="0.25">
      <c r="A63" t="s">
        <v>765</v>
      </c>
      <c r="B63" s="7" t="s">
        <v>766</v>
      </c>
      <c r="C63" s="20">
        <v>0</v>
      </c>
      <c r="D63" s="20">
        <v>2841</v>
      </c>
      <c r="E63" s="20">
        <v>5044</v>
      </c>
      <c r="F63" s="20">
        <v>4000</v>
      </c>
      <c r="G63" s="20">
        <v>1694.72</v>
      </c>
      <c r="H63" s="21">
        <v>4000</v>
      </c>
      <c r="I63" s="21"/>
      <c r="J63" s="21">
        <v>4000</v>
      </c>
      <c r="K63" s="21">
        <v>0</v>
      </c>
      <c r="L63" s="20">
        <f t="shared" si="4"/>
        <v>4000</v>
      </c>
    </row>
    <row r="64" spans="1:12" hidden="1" x14ac:dyDescent="0.25">
      <c r="A64" t="s">
        <v>767</v>
      </c>
      <c r="B64" s="7" t="s">
        <v>498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1">
        <v>0</v>
      </c>
      <c r="I64" s="21"/>
      <c r="J64" s="21">
        <v>0</v>
      </c>
      <c r="K64" s="21">
        <v>0</v>
      </c>
      <c r="L64" s="20">
        <f t="shared" si="4"/>
        <v>0</v>
      </c>
    </row>
    <row r="65" spans="1:12" hidden="1" x14ac:dyDescent="0.25">
      <c r="A65" t="s">
        <v>768</v>
      </c>
      <c r="B65" s="7" t="s">
        <v>500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1">
        <v>0</v>
      </c>
      <c r="I65" s="21"/>
      <c r="J65" s="21">
        <v>0</v>
      </c>
      <c r="K65" s="21">
        <v>0</v>
      </c>
      <c r="L65" s="20">
        <f t="shared" si="4"/>
        <v>0</v>
      </c>
    </row>
    <row r="66" spans="1:12" x14ac:dyDescent="0.25">
      <c r="C66" s="10"/>
      <c r="D66" s="10"/>
      <c r="E66" s="10"/>
      <c r="F66" s="10"/>
      <c r="G66" s="10"/>
      <c r="H66" s="11"/>
      <c r="I66" s="11"/>
      <c r="J66" s="11"/>
      <c r="K66" s="11"/>
      <c r="L66" s="10"/>
    </row>
    <row r="67" spans="1:12" x14ac:dyDescent="0.25">
      <c r="C67" s="10"/>
      <c r="D67" s="10"/>
      <c r="E67" s="10"/>
      <c r="F67" s="10"/>
      <c r="G67" s="10"/>
      <c r="H67" s="11"/>
      <c r="I67" s="11"/>
      <c r="J67" s="11"/>
      <c r="K67" s="11"/>
      <c r="L67" s="10"/>
    </row>
    <row r="68" spans="1:12" x14ac:dyDescent="0.25">
      <c r="A68" t="s">
        <v>109</v>
      </c>
      <c r="C68" s="10"/>
      <c r="D68" s="10"/>
      <c r="E68" s="10"/>
      <c r="F68" s="10"/>
      <c r="G68" s="10"/>
      <c r="H68" s="11"/>
      <c r="I68" s="11"/>
      <c r="J68" s="11"/>
      <c r="K68" s="11"/>
      <c r="L68" s="10"/>
    </row>
    <row r="69" spans="1:12" x14ac:dyDescent="0.25">
      <c r="B69" t="s">
        <v>489</v>
      </c>
      <c r="C69" s="20">
        <f t="shared" ref="C69:H69" si="5">SUM(C61:C65)</f>
        <v>507</v>
      </c>
      <c r="D69" s="20">
        <f t="shared" si="5"/>
        <v>3975</v>
      </c>
      <c r="E69" s="20">
        <f t="shared" si="5"/>
        <v>6094</v>
      </c>
      <c r="F69" s="20">
        <f t="shared" si="5"/>
        <v>5500</v>
      </c>
      <c r="G69" s="20">
        <f t="shared" si="5"/>
        <v>2236.38</v>
      </c>
      <c r="H69" s="20">
        <f t="shared" si="5"/>
        <v>5000</v>
      </c>
      <c r="I69" s="21"/>
      <c r="J69" s="20">
        <f>SUM(J61:J65)</f>
        <v>5200</v>
      </c>
      <c r="K69" s="20">
        <f>SUM(K61:K65)</f>
        <v>0</v>
      </c>
      <c r="L69" s="20">
        <f>SUM(L61:L65)</f>
        <v>5200</v>
      </c>
    </row>
    <row r="70" spans="1:12" x14ac:dyDescent="0.25">
      <c r="C70" s="10"/>
      <c r="D70" s="10"/>
      <c r="E70" s="10"/>
      <c r="F70" s="10"/>
      <c r="G70" s="10"/>
      <c r="H70" s="11"/>
      <c r="I70" s="11"/>
      <c r="J70" s="11"/>
      <c r="K70" s="11"/>
      <c r="L70" s="10"/>
    </row>
    <row r="71" spans="1:12" x14ac:dyDescent="0.25">
      <c r="A71" t="s">
        <v>501</v>
      </c>
      <c r="C71" s="10"/>
      <c r="D71" s="10"/>
      <c r="E71" s="10"/>
      <c r="F71" s="10"/>
      <c r="G71" s="10"/>
      <c r="H71" s="11"/>
      <c r="I71" s="11"/>
      <c r="J71" s="11"/>
      <c r="K71" s="11"/>
      <c r="L71" s="10"/>
    </row>
    <row r="72" spans="1:12" x14ac:dyDescent="0.25">
      <c r="A72" t="s">
        <v>18</v>
      </c>
      <c r="C72" s="10"/>
      <c r="D72" s="10"/>
      <c r="E72" s="10"/>
      <c r="F72" s="10"/>
      <c r="G72" s="10"/>
      <c r="H72" s="11"/>
      <c r="I72" s="11"/>
      <c r="J72" s="11"/>
      <c r="K72" s="11"/>
      <c r="L72" s="10"/>
    </row>
    <row r="73" spans="1:12" x14ac:dyDescent="0.25">
      <c r="A73" t="s">
        <v>769</v>
      </c>
      <c r="B73" s="7" t="s">
        <v>503</v>
      </c>
      <c r="C73" s="20">
        <v>37152</v>
      </c>
      <c r="D73" s="20">
        <v>27258</v>
      </c>
      <c r="E73" s="20">
        <v>19741</v>
      </c>
      <c r="F73" s="20">
        <v>20000</v>
      </c>
      <c r="G73" s="20">
        <v>12377.69</v>
      </c>
      <c r="H73" s="21">
        <v>20000</v>
      </c>
      <c r="I73" s="21"/>
      <c r="J73" s="21">
        <v>20000</v>
      </c>
      <c r="K73" s="21">
        <v>0</v>
      </c>
      <c r="L73" s="20">
        <f t="shared" ref="L73:L80" si="6">SUM(J73+K73)</f>
        <v>20000</v>
      </c>
    </row>
    <row r="74" spans="1:12" x14ac:dyDescent="0.25">
      <c r="B74" s="7" t="s">
        <v>3567</v>
      </c>
      <c r="C74" s="20"/>
      <c r="D74" s="20"/>
      <c r="E74" s="20"/>
      <c r="F74" s="20"/>
      <c r="G74" s="20"/>
      <c r="H74" s="21"/>
      <c r="I74" s="21">
        <v>17000</v>
      </c>
      <c r="J74" s="21"/>
      <c r="K74" s="21"/>
      <c r="L74" s="20"/>
    </row>
    <row r="75" spans="1:12" x14ac:dyDescent="0.25">
      <c r="B75" s="7" t="s">
        <v>3568</v>
      </c>
      <c r="C75" s="20"/>
      <c r="D75" s="20"/>
      <c r="E75" s="20"/>
      <c r="F75" s="20"/>
      <c r="G75" s="20"/>
      <c r="H75" s="21"/>
      <c r="I75" s="21">
        <v>3000</v>
      </c>
      <c r="J75" s="21"/>
      <c r="K75" s="21"/>
      <c r="L75" s="20"/>
    </row>
    <row r="76" spans="1:12" x14ac:dyDescent="0.25">
      <c r="A76" t="s">
        <v>770</v>
      </c>
      <c r="B76" s="7" t="s">
        <v>507</v>
      </c>
      <c r="C76" s="20">
        <v>31</v>
      </c>
      <c r="D76" s="20">
        <v>0</v>
      </c>
      <c r="E76" s="20">
        <v>0</v>
      </c>
      <c r="F76" s="20">
        <v>0</v>
      </c>
      <c r="G76" s="20">
        <v>0</v>
      </c>
      <c r="H76" s="21">
        <v>0</v>
      </c>
      <c r="I76" s="21"/>
      <c r="J76" s="21">
        <v>0</v>
      </c>
      <c r="K76" s="21">
        <v>0</v>
      </c>
      <c r="L76" s="20">
        <f t="shared" si="6"/>
        <v>0</v>
      </c>
    </row>
    <row r="77" spans="1:12" x14ac:dyDescent="0.25">
      <c r="A77" t="s">
        <v>771</v>
      </c>
      <c r="B77" s="7" t="s">
        <v>517</v>
      </c>
      <c r="C77" s="20">
        <v>200</v>
      </c>
      <c r="D77" s="20">
        <v>723</v>
      </c>
      <c r="E77" s="20">
        <v>195</v>
      </c>
      <c r="F77" s="20">
        <v>4000</v>
      </c>
      <c r="G77" s="20">
        <v>0</v>
      </c>
      <c r="H77" s="21">
        <v>0</v>
      </c>
      <c r="I77" s="21"/>
      <c r="J77" s="21">
        <v>3000</v>
      </c>
      <c r="K77" s="21">
        <v>0</v>
      </c>
      <c r="L77" s="20">
        <f t="shared" si="6"/>
        <v>3000</v>
      </c>
    </row>
    <row r="78" spans="1:12" x14ac:dyDescent="0.25">
      <c r="A78" t="s">
        <v>772</v>
      </c>
      <c r="B78" s="7" t="s">
        <v>519</v>
      </c>
      <c r="C78" s="20">
        <v>0</v>
      </c>
      <c r="D78" s="20">
        <v>0</v>
      </c>
      <c r="E78" s="20">
        <v>560</v>
      </c>
      <c r="F78" s="20">
        <v>5000</v>
      </c>
      <c r="G78" s="20">
        <v>0</v>
      </c>
      <c r="H78" s="21">
        <v>0</v>
      </c>
      <c r="I78" s="21"/>
      <c r="J78" s="21">
        <v>4000</v>
      </c>
      <c r="K78" s="21">
        <v>0</v>
      </c>
      <c r="L78" s="20">
        <f t="shared" si="6"/>
        <v>4000</v>
      </c>
    </row>
    <row r="79" spans="1:12" x14ac:dyDescent="0.25">
      <c r="A79" t="s">
        <v>773</v>
      </c>
      <c r="B79" s="7" t="s">
        <v>521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1">
        <v>0</v>
      </c>
      <c r="I79" s="21"/>
      <c r="J79" s="21">
        <v>0</v>
      </c>
      <c r="K79" s="21">
        <v>0</v>
      </c>
      <c r="L79" s="20">
        <f t="shared" si="6"/>
        <v>0</v>
      </c>
    </row>
    <row r="80" spans="1:12" x14ac:dyDescent="0.25">
      <c r="A80" t="s">
        <v>774</v>
      </c>
      <c r="B80" s="7" t="s">
        <v>775</v>
      </c>
      <c r="C80" s="20">
        <v>0</v>
      </c>
      <c r="D80" s="20">
        <v>0</v>
      </c>
      <c r="E80" s="20">
        <v>7554</v>
      </c>
      <c r="F80" s="20">
        <v>7000</v>
      </c>
      <c r="G80" s="20">
        <v>0</v>
      </c>
      <c r="H80" s="21">
        <v>0</v>
      </c>
      <c r="I80" s="21"/>
      <c r="J80" s="21">
        <v>4000</v>
      </c>
      <c r="K80" s="21">
        <v>0</v>
      </c>
      <c r="L80" s="20">
        <f t="shared" si="6"/>
        <v>4000</v>
      </c>
    </row>
    <row r="81" spans="1:12" x14ac:dyDescent="0.25">
      <c r="C81" s="10"/>
      <c r="D81" s="10"/>
      <c r="E81" s="10"/>
      <c r="F81" s="10"/>
      <c r="G81" s="10"/>
      <c r="H81" s="11"/>
      <c r="I81" s="11"/>
      <c r="J81" s="11"/>
      <c r="K81" s="11"/>
      <c r="L81" s="10"/>
    </row>
    <row r="82" spans="1:12" x14ac:dyDescent="0.25">
      <c r="C82" s="10"/>
      <c r="D82" s="10"/>
      <c r="E82" s="10"/>
      <c r="F82" s="10"/>
      <c r="G82" s="10"/>
      <c r="H82" s="11"/>
      <c r="I82" s="11"/>
      <c r="J82" s="11"/>
      <c r="K82" s="11"/>
      <c r="L82" s="10"/>
    </row>
    <row r="83" spans="1:12" x14ac:dyDescent="0.25">
      <c r="A83" t="s">
        <v>109</v>
      </c>
      <c r="C83" s="10"/>
      <c r="D83" s="10"/>
      <c r="E83" s="10"/>
      <c r="F83" s="10"/>
      <c r="G83" s="10"/>
      <c r="H83" s="11"/>
      <c r="I83" s="11"/>
      <c r="J83" s="11"/>
      <c r="K83" s="11"/>
      <c r="L83" s="10"/>
    </row>
    <row r="84" spans="1:12" x14ac:dyDescent="0.25">
      <c r="B84" t="s">
        <v>501</v>
      </c>
      <c r="C84" s="20">
        <f t="shared" ref="C84:H84" si="7">SUM(C73:C80)</f>
        <v>37383</v>
      </c>
      <c r="D84" s="20">
        <f t="shared" si="7"/>
        <v>27981</v>
      </c>
      <c r="E84" s="20">
        <f t="shared" si="7"/>
        <v>28050</v>
      </c>
      <c r="F84" s="20">
        <f t="shared" si="7"/>
        <v>36000</v>
      </c>
      <c r="G84" s="20">
        <f t="shared" si="7"/>
        <v>12377.69</v>
      </c>
      <c r="H84" s="20">
        <f t="shared" si="7"/>
        <v>20000</v>
      </c>
      <c r="I84" s="21"/>
      <c r="J84" s="20">
        <f>SUM(J73:J80)</f>
        <v>31000</v>
      </c>
      <c r="K84" s="20">
        <f>SUM(K73:K80)</f>
        <v>0</v>
      </c>
      <c r="L84" s="20">
        <f>SUM(L73:L80)</f>
        <v>31000</v>
      </c>
    </row>
    <row r="85" spans="1:12" x14ac:dyDescent="0.25">
      <c r="C85" s="10"/>
      <c r="D85" s="10"/>
      <c r="E85" s="10"/>
      <c r="F85" s="10"/>
      <c r="G85" s="10"/>
      <c r="H85" s="11"/>
      <c r="I85" s="11"/>
      <c r="J85" s="11"/>
      <c r="K85" s="11"/>
      <c r="L85" s="10"/>
    </row>
    <row r="86" spans="1:12" x14ac:dyDescent="0.25">
      <c r="A86" t="s">
        <v>530</v>
      </c>
      <c r="C86" s="10"/>
      <c r="D86" s="10"/>
      <c r="E86" s="10"/>
      <c r="F86" s="10"/>
      <c r="G86" s="10"/>
      <c r="H86" s="11"/>
      <c r="I86" s="11"/>
      <c r="J86" s="11"/>
      <c r="K86" s="11"/>
      <c r="L86" s="10"/>
    </row>
    <row r="87" spans="1:12" x14ac:dyDescent="0.25">
      <c r="A87" t="s">
        <v>18</v>
      </c>
      <c r="B87" s="7" t="s">
        <v>526</v>
      </c>
      <c r="C87" s="10"/>
      <c r="D87" s="10"/>
      <c r="E87" s="10"/>
      <c r="F87" s="10"/>
      <c r="G87" s="10"/>
      <c r="H87" s="11"/>
      <c r="I87" s="11"/>
      <c r="J87" s="11"/>
      <c r="K87" s="11"/>
      <c r="L87" s="10"/>
    </row>
    <row r="88" spans="1:12" x14ac:dyDescent="0.25">
      <c r="A88" t="s">
        <v>776</v>
      </c>
      <c r="B88" s="7" t="s">
        <v>534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1">
        <v>0</v>
      </c>
      <c r="I88" s="21"/>
      <c r="J88" s="21">
        <v>0</v>
      </c>
      <c r="K88" s="21">
        <v>0</v>
      </c>
      <c r="L88" s="20">
        <f t="shared" ref="L88:L89" si="8">SUM(J88+K88)</f>
        <v>0</v>
      </c>
    </row>
    <row r="89" spans="1:12" x14ac:dyDescent="0.25">
      <c r="A89" t="s">
        <v>777</v>
      </c>
      <c r="B89" s="7" t="s">
        <v>728</v>
      </c>
      <c r="C89" s="20">
        <v>0</v>
      </c>
      <c r="D89" s="20">
        <v>0</v>
      </c>
      <c r="E89" s="20">
        <v>0</v>
      </c>
      <c r="F89" s="20">
        <v>0</v>
      </c>
      <c r="G89" s="20">
        <v>0</v>
      </c>
      <c r="H89" s="21">
        <v>0</v>
      </c>
      <c r="I89" s="21"/>
      <c r="J89" s="21">
        <v>0</v>
      </c>
      <c r="K89" s="21">
        <v>0</v>
      </c>
      <c r="L89" s="20">
        <f t="shared" si="8"/>
        <v>0</v>
      </c>
    </row>
    <row r="90" spans="1:12" x14ac:dyDescent="0.25">
      <c r="C90" s="10"/>
      <c r="D90" s="10"/>
      <c r="E90" s="10"/>
      <c r="F90" s="10"/>
      <c r="G90" s="10"/>
      <c r="H90" s="11"/>
      <c r="I90" s="11"/>
      <c r="J90" s="11"/>
      <c r="K90" s="11"/>
      <c r="L90" s="10"/>
    </row>
    <row r="91" spans="1:12" x14ac:dyDescent="0.25">
      <c r="C91" s="10"/>
      <c r="D91" s="10"/>
      <c r="E91" s="10"/>
      <c r="F91" s="10"/>
      <c r="G91" s="10"/>
      <c r="H91" s="11"/>
      <c r="I91" s="11"/>
      <c r="J91" s="11"/>
      <c r="K91" s="11"/>
      <c r="L91" s="10"/>
    </row>
    <row r="92" spans="1:12" x14ac:dyDescent="0.25">
      <c r="A92" t="s">
        <v>109</v>
      </c>
      <c r="C92" s="10"/>
      <c r="D92" s="10"/>
      <c r="E92" s="10"/>
      <c r="F92" s="10"/>
      <c r="G92" s="10"/>
      <c r="H92" s="11"/>
      <c r="I92" s="11"/>
      <c r="J92" s="11"/>
      <c r="K92" s="11"/>
      <c r="L92" s="10"/>
    </row>
    <row r="93" spans="1:12" x14ac:dyDescent="0.25">
      <c r="B93" t="s">
        <v>530</v>
      </c>
      <c r="C93" s="20">
        <f t="shared" ref="C93:H93" si="9">SUM(C88:C89)</f>
        <v>0</v>
      </c>
      <c r="D93" s="20">
        <f t="shared" si="9"/>
        <v>0</v>
      </c>
      <c r="E93" s="20">
        <f t="shared" si="9"/>
        <v>0</v>
      </c>
      <c r="F93" s="20">
        <f t="shared" si="9"/>
        <v>0</v>
      </c>
      <c r="G93" s="20">
        <f t="shared" si="9"/>
        <v>0</v>
      </c>
      <c r="H93" s="20">
        <f t="shared" si="9"/>
        <v>0</v>
      </c>
      <c r="I93" s="21"/>
      <c r="J93" s="20">
        <f>SUM(J88:J89)</f>
        <v>0</v>
      </c>
      <c r="K93" s="20">
        <f>SUM(K88:K89)</f>
        <v>0</v>
      </c>
      <c r="L93" s="20">
        <f>SUM(L88:L89)</f>
        <v>0</v>
      </c>
    </row>
    <row r="94" spans="1:12" x14ac:dyDescent="0.25">
      <c r="C94" s="10"/>
      <c r="D94" s="10"/>
      <c r="E94" s="10"/>
      <c r="F94" s="10"/>
      <c r="G94" s="10"/>
      <c r="H94" s="11"/>
      <c r="I94" s="11"/>
      <c r="J94" s="11"/>
      <c r="K94" s="11"/>
      <c r="L94" s="10"/>
    </row>
    <row r="95" spans="1:12" x14ac:dyDescent="0.25">
      <c r="C95" s="10"/>
      <c r="D95" s="10"/>
      <c r="E95" s="10"/>
      <c r="F95" s="10"/>
      <c r="G95" s="10"/>
      <c r="H95" s="11"/>
      <c r="I95" s="11"/>
      <c r="J95" s="11"/>
      <c r="K95" s="11"/>
      <c r="L95" s="10"/>
    </row>
    <row r="96" spans="1:12" x14ac:dyDescent="0.25">
      <c r="A96" t="s">
        <v>109</v>
      </c>
      <c r="C96" s="10"/>
      <c r="D96" s="10"/>
      <c r="E96" s="10"/>
      <c r="F96" s="10"/>
      <c r="G96" s="10"/>
      <c r="H96" s="11"/>
      <c r="I96" s="11"/>
      <c r="J96" s="11"/>
      <c r="K96" s="11"/>
      <c r="L96" s="10"/>
    </row>
    <row r="97" spans="1:12" x14ac:dyDescent="0.25">
      <c r="A97">
        <v>14</v>
      </c>
      <c r="B97" t="s">
        <v>3569</v>
      </c>
      <c r="C97" s="20">
        <f t="shared" ref="C97:H97" si="10">C33++C69+C84+C93+C57</f>
        <v>154903</v>
      </c>
      <c r="D97" s="20">
        <f t="shared" si="10"/>
        <v>168185</v>
      </c>
      <c r="E97" s="20">
        <f t="shared" si="10"/>
        <v>172100</v>
      </c>
      <c r="F97" s="20">
        <f t="shared" si="10"/>
        <v>202444</v>
      </c>
      <c r="G97" s="20">
        <f t="shared" si="10"/>
        <v>131694.42000000001</v>
      </c>
      <c r="H97" s="20">
        <f t="shared" si="10"/>
        <v>167678.35999999999</v>
      </c>
      <c r="I97" s="21"/>
      <c r="J97" s="20">
        <f>J33++J69+J84+J93+J57</f>
        <v>204224.32600000003</v>
      </c>
      <c r="K97" s="20">
        <f>K33++K69+K84+K93+K57</f>
        <v>0</v>
      </c>
      <c r="L97" s="20">
        <f>L33++L69+L84+L93+L57</f>
        <v>204224.32600000003</v>
      </c>
    </row>
  </sheetData>
  <sheetProtection algorithmName="SHA-512" hashValue="6+ibptgb3zhD9Nqk8rn6OmsjA51ndbhWVFjlnQVcsKM+5IokVcAYNZRNiLMR238beLdA0A/vMTxP8w7qHcTemQ==" saltValue="GDg+4F4zkeyaU1NAU365DQ==" spinCount="100000" sheet="1" insertRows="0"/>
  <pageMargins left="0.25" right="0.25" top="0.75" bottom="0.75" header="0.3" footer="0.3"/>
  <pageSetup scale="7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6739-5BA3-4BCB-AEC0-68646199E6B1}">
  <sheetPr>
    <pageSetUpPr fitToPage="1"/>
  </sheetPr>
  <dimension ref="A1:L91"/>
  <sheetViews>
    <sheetView zoomScaleNormal="100" workbookViewId="0">
      <pane ySplit="7" topLeftCell="A67" activePane="bottomLeft" state="frozen"/>
      <selection pane="bottomLeft" activeCell="A61" sqref="A61:XFD62"/>
    </sheetView>
  </sheetViews>
  <sheetFormatPr defaultRowHeight="15" x14ac:dyDescent="0.25"/>
  <cols>
    <col min="2" max="2" width="32.5703125" style="7" bestFit="1" customWidth="1"/>
    <col min="3" max="3" width="13.140625" bestFit="1" customWidth="1"/>
    <col min="4" max="4" width="14.85546875" bestFit="1" customWidth="1"/>
    <col min="5" max="5" width="13.85546875" bestFit="1" customWidth="1"/>
    <col min="6" max="6" width="14" bestFit="1" customWidth="1"/>
    <col min="7" max="7" width="12.7109375" bestFit="1" customWidth="1"/>
    <col min="8" max="8" width="13.140625" style="7" bestFit="1" customWidth="1"/>
    <col min="9" max="9" width="12.140625" style="7" bestFit="1" customWidth="1"/>
    <col min="10" max="10" width="13.140625" style="7" bestFit="1" customWidth="1"/>
    <col min="11" max="11" width="14.5703125" style="7" bestFit="1" customWidth="1"/>
    <col min="12" max="12" width="14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5" t="s">
        <v>2</v>
      </c>
      <c r="G3" s="3" t="s">
        <v>3410</v>
      </c>
      <c r="H3" s="7" t="s">
        <v>4</v>
      </c>
      <c r="J3" s="8" t="s">
        <v>3411</v>
      </c>
      <c r="K3" s="9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9" t="s">
        <v>12</v>
      </c>
      <c r="I4" s="9"/>
      <c r="J4" s="9" t="s">
        <v>3414</v>
      </c>
      <c r="K4" s="9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9" t="s">
        <v>17</v>
      </c>
      <c r="I5" s="9"/>
      <c r="J5" s="9" t="s">
        <v>13</v>
      </c>
      <c r="K5" s="9" t="s">
        <v>3417</v>
      </c>
      <c r="L5" s="3" t="s">
        <v>13</v>
      </c>
    </row>
    <row r="6" spans="1:12" x14ac:dyDescent="0.25">
      <c r="A6" t="s">
        <v>18</v>
      </c>
      <c r="B6" s="7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s="7" t="s">
        <v>20</v>
      </c>
      <c r="J6" s="7" t="s">
        <v>24</v>
      </c>
      <c r="K6" s="7" t="s">
        <v>20</v>
      </c>
      <c r="L6" t="s">
        <v>20</v>
      </c>
    </row>
    <row r="8" spans="1:12" x14ac:dyDescent="0.25">
      <c r="A8" t="s">
        <v>262</v>
      </c>
    </row>
    <row r="11" spans="1:12" x14ac:dyDescent="0.25">
      <c r="A11" t="s">
        <v>441</v>
      </c>
    </row>
    <row r="12" spans="1:12" x14ac:dyDescent="0.25">
      <c r="A12" t="s">
        <v>18</v>
      </c>
      <c r="B12" s="7" t="s">
        <v>228</v>
      </c>
    </row>
    <row r="13" spans="1:12" x14ac:dyDescent="0.25">
      <c r="A13" t="s">
        <v>779</v>
      </c>
      <c r="B13" s="7" t="s">
        <v>569</v>
      </c>
      <c r="C13" s="22">
        <v>1694</v>
      </c>
      <c r="D13" s="22">
        <v>4119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780</v>
      </c>
      <c r="B14" s="7" t="s">
        <v>396</v>
      </c>
      <c r="C14" s="22">
        <v>429</v>
      </c>
      <c r="D14" s="22">
        <v>18</v>
      </c>
      <c r="E14" s="22">
        <v>234</v>
      </c>
      <c r="F14" s="22">
        <v>504</v>
      </c>
      <c r="G14" s="22">
        <v>126</v>
      </c>
      <c r="H14" s="21">
        <v>126</v>
      </c>
      <c r="I14" s="21"/>
      <c r="J14" s="21">
        <v>126</v>
      </c>
      <c r="K14" s="21">
        <v>0</v>
      </c>
      <c r="L14" s="22">
        <f t="shared" ref="L14:L28" si="0">SUM(J14+K14)</f>
        <v>126</v>
      </c>
    </row>
    <row r="15" spans="1:12" x14ac:dyDescent="0.25">
      <c r="A15" t="s">
        <v>781</v>
      </c>
      <c r="B15" s="7" t="s">
        <v>398</v>
      </c>
      <c r="C15" s="22">
        <v>7135</v>
      </c>
      <c r="D15" s="22">
        <v>7816</v>
      </c>
      <c r="E15" s="22">
        <v>7961</v>
      </c>
      <c r="F15" s="22">
        <v>8569</v>
      </c>
      <c r="G15" s="22">
        <v>7283.16</v>
      </c>
      <c r="H15" s="21">
        <v>8500</v>
      </c>
      <c r="I15" s="21"/>
      <c r="J15" s="21">
        <v>8569.27</v>
      </c>
      <c r="K15" s="21">
        <v>0</v>
      </c>
      <c r="L15" s="22">
        <f t="shared" si="0"/>
        <v>8569.27</v>
      </c>
    </row>
    <row r="16" spans="1:12" x14ac:dyDescent="0.25">
      <c r="A16" t="s">
        <v>782</v>
      </c>
      <c r="B16" s="7" t="s">
        <v>400</v>
      </c>
      <c r="C16" s="22">
        <v>7803</v>
      </c>
      <c r="D16" s="22">
        <v>8643</v>
      </c>
      <c r="E16" s="22">
        <v>9452</v>
      </c>
      <c r="F16" s="22">
        <v>10631</v>
      </c>
      <c r="G16" s="22">
        <v>7668.43</v>
      </c>
      <c r="H16" s="21">
        <v>9000</v>
      </c>
      <c r="I16" s="21"/>
      <c r="J16" s="21">
        <f>2537.54+7632.34</f>
        <v>10169.880000000001</v>
      </c>
      <c r="K16" s="21">
        <v>0</v>
      </c>
      <c r="L16" s="22">
        <f t="shared" si="0"/>
        <v>10169.880000000001</v>
      </c>
    </row>
    <row r="17" spans="1:12" x14ac:dyDescent="0.25">
      <c r="A17" t="s">
        <v>783</v>
      </c>
      <c r="B17" s="7" t="s">
        <v>574</v>
      </c>
      <c r="C17" s="22">
        <v>27743</v>
      </c>
      <c r="D17" s="22">
        <v>26910</v>
      </c>
      <c r="E17" s="22">
        <v>29039</v>
      </c>
      <c r="F17" s="22">
        <v>28212</v>
      </c>
      <c r="G17" s="22">
        <v>34492.04</v>
      </c>
      <c r="H17" s="21">
        <v>36300</v>
      </c>
      <c r="I17" s="21"/>
      <c r="J17" s="21">
        <v>25104.12</v>
      </c>
      <c r="K17" s="21">
        <v>0</v>
      </c>
      <c r="L17" s="22">
        <f t="shared" si="0"/>
        <v>25104.12</v>
      </c>
    </row>
    <row r="18" spans="1:12" x14ac:dyDescent="0.25">
      <c r="A18" t="s">
        <v>784</v>
      </c>
      <c r="B18" s="7" t="s">
        <v>404</v>
      </c>
      <c r="C18" s="22">
        <v>1328</v>
      </c>
      <c r="D18" s="22">
        <v>1326</v>
      </c>
      <c r="E18" s="22">
        <v>1307</v>
      </c>
      <c r="F18" s="22">
        <v>1308</v>
      </c>
      <c r="G18" s="22">
        <v>1034.08</v>
      </c>
      <c r="H18" s="21">
        <v>1300</v>
      </c>
      <c r="I18" s="21"/>
      <c r="J18" s="21">
        <v>1440</v>
      </c>
      <c r="K18" s="21">
        <v>0</v>
      </c>
      <c r="L18" s="22">
        <f t="shared" si="0"/>
        <v>1440</v>
      </c>
    </row>
    <row r="19" spans="1:12" x14ac:dyDescent="0.25">
      <c r="A19" t="s">
        <v>785</v>
      </c>
      <c r="B19" s="7" t="s">
        <v>406</v>
      </c>
      <c r="C19" s="22">
        <v>530</v>
      </c>
      <c r="D19" s="22">
        <v>1614</v>
      </c>
      <c r="E19" s="22">
        <v>465</v>
      </c>
      <c r="F19" s="22">
        <v>511</v>
      </c>
      <c r="G19" s="22">
        <v>1007.36</v>
      </c>
      <c r="H19" s="21">
        <v>1007</v>
      </c>
      <c r="I19" s="21"/>
      <c r="J19" s="21">
        <f>G19*10%+G19</f>
        <v>1108.096</v>
      </c>
      <c r="K19" s="21">
        <v>0</v>
      </c>
      <c r="L19" s="22">
        <f t="shared" si="0"/>
        <v>1108.096</v>
      </c>
    </row>
    <row r="20" spans="1:12" x14ac:dyDescent="0.25">
      <c r="A20" t="s">
        <v>786</v>
      </c>
      <c r="B20" s="7" t="s">
        <v>787</v>
      </c>
      <c r="C20" s="22">
        <v>95164</v>
      </c>
      <c r="D20" s="22">
        <v>103183</v>
      </c>
      <c r="E20" s="22">
        <v>105013</v>
      </c>
      <c r="F20" s="22">
        <v>110264</v>
      </c>
      <c r="G20" s="22">
        <v>96787.21</v>
      </c>
      <c r="H20" s="21">
        <v>109575</v>
      </c>
      <c r="I20" s="21"/>
      <c r="J20" s="21">
        <v>110260.8</v>
      </c>
      <c r="K20" s="21">
        <v>0</v>
      </c>
      <c r="L20" s="22">
        <f t="shared" si="0"/>
        <v>110260.8</v>
      </c>
    </row>
    <row r="21" spans="1:12" x14ac:dyDescent="0.25">
      <c r="A21" t="s">
        <v>788</v>
      </c>
      <c r="B21" s="7" t="s">
        <v>690</v>
      </c>
      <c r="C21" s="22">
        <v>69</v>
      </c>
      <c r="D21" s="22">
        <v>138</v>
      </c>
      <c r="E21" s="22">
        <v>208</v>
      </c>
      <c r="F21" s="22">
        <v>329</v>
      </c>
      <c r="G21" s="22">
        <v>276.82</v>
      </c>
      <c r="H21" s="21">
        <v>277</v>
      </c>
      <c r="I21" s="21"/>
      <c r="J21" s="21">
        <v>346.02</v>
      </c>
      <c r="K21" s="21">
        <v>0</v>
      </c>
      <c r="L21" s="22">
        <f t="shared" si="0"/>
        <v>346.02</v>
      </c>
    </row>
    <row r="22" spans="1:12" x14ac:dyDescent="0.25">
      <c r="A22" t="s">
        <v>789</v>
      </c>
      <c r="B22" s="7" t="s">
        <v>426</v>
      </c>
      <c r="C22" s="22">
        <v>0</v>
      </c>
      <c r="D22" s="22">
        <v>810</v>
      </c>
      <c r="E22" s="22">
        <v>810</v>
      </c>
      <c r="F22" s="22">
        <v>810</v>
      </c>
      <c r="G22" s="22">
        <v>830.44</v>
      </c>
      <c r="H22" s="21">
        <v>830</v>
      </c>
      <c r="I22" s="21"/>
      <c r="J22" s="21">
        <v>809.82</v>
      </c>
      <c r="K22" s="21">
        <v>0</v>
      </c>
      <c r="L22" s="22">
        <f t="shared" si="0"/>
        <v>809.82</v>
      </c>
    </row>
    <row r="23" spans="1:12" x14ac:dyDescent="0.25">
      <c r="A23" t="s">
        <v>790</v>
      </c>
      <c r="B23" s="7" t="s">
        <v>428</v>
      </c>
      <c r="C23" s="22">
        <v>600</v>
      </c>
      <c r="D23" s="22">
        <v>600</v>
      </c>
      <c r="E23" s="22">
        <v>600</v>
      </c>
      <c r="F23" s="22">
        <v>600</v>
      </c>
      <c r="G23" s="22">
        <v>530.84</v>
      </c>
      <c r="H23" s="21">
        <v>675</v>
      </c>
      <c r="I23" s="21"/>
      <c r="J23" s="21">
        <v>600</v>
      </c>
      <c r="K23" s="21">
        <v>0</v>
      </c>
      <c r="L23" s="22">
        <f t="shared" si="0"/>
        <v>600</v>
      </c>
    </row>
    <row r="24" spans="1:12" x14ac:dyDescent="0.25">
      <c r="A24" t="s">
        <v>791</v>
      </c>
      <c r="B24" s="7" t="s">
        <v>430</v>
      </c>
      <c r="C24" s="22">
        <v>69</v>
      </c>
      <c r="D24" s="22">
        <v>69</v>
      </c>
      <c r="E24" s="22">
        <v>69</v>
      </c>
      <c r="F24" s="22">
        <v>69</v>
      </c>
      <c r="G24" s="22">
        <v>69.2</v>
      </c>
      <c r="H24" s="21">
        <v>69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792</v>
      </c>
      <c r="B25" s="7" t="s">
        <v>432</v>
      </c>
      <c r="C25" s="22">
        <v>0</v>
      </c>
      <c r="D25" s="22">
        <v>0</v>
      </c>
      <c r="E25" s="22">
        <v>0</v>
      </c>
      <c r="F25" s="22">
        <v>0</v>
      </c>
      <c r="G25" s="22">
        <v>1118.76</v>
      </c>
      <c r="H25" s="21">
        <v>2000</v>
      </c>
      <c r="I25" s="21"/>
      <c r="J25" s="21">
        <v>0</v>
      </c>
      <c r="K25" s="21">
        <v>0</v>
      </c>
      <c r="L25" s="22">
        <f t="shared" si="0"/>
        <v>0</v>
      </c>
    </row>
    <row r="26" spans="1:12" x14ac:dyDescent="0.25">
      <c r="A26" t="s">
        <v>793</v>
      </c>
      <c r="B26" s="7" t="s">
        <v>434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1">
        <v>0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794</v>
      </c>
      <c r="B27" s="7" t="s">
        <v>436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795</v>
      </c>
      <c r="B28" s="7" t="s">
        <v>607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C29" s="12"/>
      <c r="D29" s="12"/>
      <c r="E29" s="12"/>
      <c r="F29" s="12"/>
      <c r="G29" s="12"/>
      <c r="H29" s="11"/>
      <c r="I29" s="11"/>
      <c r="J29" s="11"/>
      <c r="K29" s="11"/>
      <c r="L29" s="12"/>
    </row>
    <row r="30" spans="1:12" x14ac:dyDescent="0.25">
      <c r="C30" s="12"/>
      <c r="D30" s="12"/>
      <c r="E30" s="12"/>
      <c r="F30" s="12"/>
      <c r="G30" s="12"/>
      <c r="H30" s="11"/>
      <c r="I30" s="11"/>
      <c r="J30" s="11"/>
      <c r="K30" s="11"/>
      <c r="L30" s="12"/>
    </row>
    <row r="31" spans="1:12" x14ac:dyDescent="0.25">
      <c r="A31" t="s">
        <v>109</v>
      </c>
      <c r="C31" s="12"/>
      <c r="D31" s="12"/>
      <c r="E31" s="12"/>
      <c r="F31" s="12"/>
      <c r="G31" s="12"/>
      <c r="H31" s="11"/>
      <c r="I31" s="11"/>
      <c r="J31" s="11"/>
      <c r="K31" s="11"/>
      <c r="L31" s="12"/>
    </row>
    <row r="32" spans="1:12" x14ac:dyDescent="0.25">
      <c r="B32" t="s">
        <v>441</v>
      </c>
      <c r="C32" s="20">
        <f t="shared" ref="C32:G32" si="1">SUM(C13:C28)</f>
        <v>142564</v>
      </c>
      <c r="D32" s="20">
        <f t="shared" si="1"/>
        <v>155246</v>
      </c>
      <c r="E32" s="20">
        <f t="shared" si="1"/>
        <v>155158</v>
      </c>
      <c r="F32" s="20">
        <f t="shared" si="1"/>
        <v>161807</v>
      </c>
      <c r="G32" s="20">
        <f t="shared" si="1"/>
        <v>151224.34000000005</v>
      </c>
      <c r="H32" s="20">
        <f>SUM(H13:H28)</f>
        <v>169659</v>
      </c>
      <c r="I32" s="20"/>
      <c r="J32" s="20">
        <f>SUM(J13:J28)</f>
        <v>158534.00599999999</v>
      </c>
      <c r="K32" s="20">
        <f>SUM(K13:K28)</f>
        <v>0</v>
      </c>
      <c r="L32" s="20">
        <f>SUM(L13:L28)</f>
        <v>158534.00599999999</v>
      </c>
    </row>
    <row r="33" spans="1:12" x14ac:dyDescent="0.25">
      <c r="C33" s="12"/>
      <c r="D33" s="12"/>
      <c r="E33" s="12"/>
      <c r="F33" s="12"/>
      <c r="G33" s="12"/>
      <c r="H33" s="11"/>
      <c r="I33" s="11"/>
      <c r="J33" s="11"/>
      <c r="K33" s="11"/>
      <c r="L33" s="12"/>
    </row>
    <row r="34" spans="1:12" x14ac:dyDescent="0.25">
      <c r="A34" t="s">
        <v>478</v>
      </c>
      <c r="C34" s="12"/>
      <c r="D34" s="12"/>
      <c r="E34" s="12"/>
      <c r="F34" s="12"/>
      <c r="G34" s="12"/>
      <c r="H34" s="11"/>
      <c r="I34" s="11"/>
      <c r="J34" s="11"/>
      <c r="K34" s="11"/>
      <c r="L34" s="12"/>
    </row>
    <row r="35" spans="1:12" x14ac:dyDescent="0.25">
      <c r="A35" t="s">
        <v>18</v>
      </c>
      <c r="B35" s="7" t="s">
        <v>21</v>
      </c>
      <c r="C35" s="12"/>
      <c r="D35" s="12"/>
      <c r="E35" s="12"/>
      <c r="F35" s="12"/>
      <c r="G35" s="12"/>
      <c r="H35" s="11"/>
      <c r="I35" s="11"/>
      <c r="J35" s="11"/>
      <c r="K35" s="11"/>
      <c r="L35" s="12"/>
    </row>
    <row r="36" spans="1:12" x14ac:dyDescent="0.25">
      <c r="A36" t="s">
        <v>796</v>
      </c>
      <c r="B36" s="7" t="s">
        <v>447</v>
      </c>
      <c r="C36" s="22">
        <v>0</v>
      </c>
      <c r="D36" s="22">
        <v>0</v>
      </c>
      <c r="E36" s="22">
        <v>0</v>
      </c>
      <c r="F36" s="22">
        <v>500</v>
      </c>
      <c r="G36" s="22">
        <v>266.18</v>
      </c>
      <c r="H36" s="21">
        <v>500</v>
      </c>
      <c r="I36" s="21"/>
      <c r="J36" s="21">
        <v>500</v>
      </c>
      <c r="K36" s="21">
        <v>0</v>
      </c>
      <c r="L36" s="22">
        <f t="shared" ref="L36" si="2">SUM(J36+K36)</f>
        <v>500</v>
      </c>
    </row>
    <row r="37" spans="1:12" x14ac:dyDescent="0.25">
      <c r="A37" t="s">
        <v>797</v>
      </c>
      <c r="B37" s="7" t="s">
        <v>449</v>
      </c>
      <c r="C37" s="22">
        <v>409</v>
      </c>
      <c r="D37" s="22">
        <v>1192</v>
      </c>
      <c r="E37" s="22">
        <v>517</v>
      </c>
      <c r="F37" s="22">
        <v>700</v>
      </c>
      <c r="G37" s="22">
        <v>401.28</v>
      </c>
      <c r="H37" s="21">
        <v>500</v>
      </c>
      <c r="I37" s="21"/>
      <c r="J37" s="21">
        <v>700</v>
      </c>
      <c r="K37" s="21">
        <v>0</v>
      </c>
      <c r="L37" s="22">
        <f t="shared" ref="L37:L50" si="3">SUM(J37+K37)</f>
        <v>700</v>
      </c>
    </row>
    <row r="38" spans="1:12" x14ac:dyDescent="0.25">
      <c r="A38" t="s">
        <v>798</v>
      </c>
      <c r="B38" s="7" t="s">
        <v>451</v>
      </c>
      <c r="C38" s="22">
        <v>1900</v>
      </c>
      <c r="D38" s="22">
        <v>2225</v>
      </c>
      <c r="E38" s="22">
        <v>1350</v>
      </c>
      <c r="F38" s="22">
        <v>2500</v>
      </c>
      <c r="G38" s="22">
        <v>763</v>
      </c>
      <c r="H38" s="21">
        <v>800</v>
      </c>
      <c r="I38" s="21"/>
      <c r="J38" s="21">
        <v>1500</v>
      </c>
      <c r="K38" s="21">
        <v>0</v>
      </c>
      <c r="L38" s="22">
        <f t="shared" si="3"/>
        <v>1500</v>
      </c>
    </row>
    <row r="39" spans="1:12" x14ac:dyDescent="0.25">
      <c r="A39" t="s">
        <v>799</v>
      </c>
      <c r="B39" s="7" t="s">
        <v>457</v>
      </c>
      <c r="C39" s="22">
        <v>300</v>
      </c>
      <c r="D39" s="22">
        <v>150</v>
      </c>
      <c r="E39" s="22">
        <v>150</v>
      </c>
      <c r="F39" s="22">
        <v>350</v>
      </c>
      <c r="G39" s="22">
        <v>0</v>
      </c>
      <c r="H39" s="21">
        <v>350</v>
      </c>
      <c r="I39" s="21"/>
      <c r="J39" s="21">
        <v>350</v>
      </c>
      <c r="K39" s="21">
        <v>0</v>
      </c>
      <c r="L39" s="22">
        <f t="shared" si="3"/>
        <v>350</v>
      </c>
    </row>
    <row r="40" spans="1:12" x14ac:dyDescent="0.25">
      <c r="A40" t="s">
        <v>800</v>
      </c>
      <c r="B40" s="7" t="s">
        <v>459</v>
      </c>
      <c r="C40" s="22">
        <v>155</v>
      </c>
      <c r="D40" s="22">
        <v>0</v>
      </c>
      <c r="E40" s="22">
        <v>0</v>
      </c>
      <c r="F40" s="22">
        <v>0</v>
      </c>
      <c r="G40" s="22">
        <v>0</v>
      </c>
      <c r="H40" s="21">
        <v>0</v>
      </c>
      <c r="I40" s="21"/>
      <c r="J40" s="21">
        <v>155</v>
      </c>
      <c r="K40" s="21">
        <v>0</v>
      </c>
      <c r="L40" s="22">
        <f t="shared" si="3"/>
        <v>155</v>
      </c>
    </row>
    <row r="41" spans="1:12" x14ac:dyDescent="0.25">
      <c r="A41" t="s">
        <v>801</v>
      </c>
      <c r="B41" s="7" t="s">
        <v>802</v>
      </c>
      <c r="C41" s="22">
        <v>108</v>
      </c>
      <c r="D41" s="22">
        <v>0</v>
      </c>
      <c r="E41" s="22">
        <v>108</v>
      </c>
      <c r="F41" s="22">
        <v>500</v>
      </c>
      <c r="G41" s="22">
        <v>0</v>
      </c>
      <c r="H41" s="21">
        <v>500</v>
      </c>
      <c r="I41" s="21"/>
      <c r="J41" s="21">
        <v>500</v>
      </c>
      <c r="K41" s="21">
        <v>0</v>
      </c>
      <c r="L41" s="22">
        <f t="shared" si="3"/>
        <v>500</v>
      </c>
    </row>
    <row r="42" spans="1:12" x14ac:dyDescent="0.25">
      <c r="A42" t="s">
        <v>803</v>
      </c>
      <c r="B42" s="7" t="s">
        <v>804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1">
        <v>0</v>
      </c>
      <c r="I42" s="21"/>
      <c r="J42" s="21"/>
      <c r="K42" s="21">
        <v>0</v>
      </c>
      <c r="L42" s="22">
        <f t="shared" si="3"/>
        <v>0</v>
      </c>
    </row>
    <row r="43" spans="1:12" x14ac:dyDescent="0.25">
      <c r="A43" t="s">
        <v>805</v>
      </c>
      <c r="B43" s="7" t="s">
        <v>806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1">
        <v>0</v>
      </c>
      <c r="I43" s="21"/>
      <c r="J43" s="21"/>
      <c r="K43" s="21">
        <v>0</v>
      </c>
      <c r="L43" s="22">
        <f t="shared" si="3"/>
        <v>0</v>
      </c>
    </row>
    <row r="44" spans="1:12" x14ac:dyDescent="0.25">
      <c r="A44" t="s">
        <v>807</v>
      </c>
      <c r="B44" s="7" t="s">
        <v>465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1">
        <v>0</v>
      </c>
      <c r="I44" s="21"/>
      <c r="J44" s="21"/>
      <c r="K44" s="21">
        <v>0</v>
      </c>
      <c r="L44" s="22">
        <f t="shared" si="3"/>
        <v>0</v>
      </c>
    </row>
    <row r="45" spans="1:12" x14ac:dyDescent="0.25">
      <c r="A45" t="s">
        <v>808</v>
      </c>
      <c r="B45" s="7" t="s">
        <v>156</v>
      </c>
      <c r="C45" s="22">
        <v>4706</v>
      </c>
      <c r="D45" s="22">
        <v>5651</v>
      </c>
      <c r="E45" s="22">
        <v>5200</v>
      </c>
      <c r="F45" s="22">
        <v>6000</v>
      </c>
      <c r="G45" s="22">
        <v>3384.72</v>
      </c>
      <c r="H45" s="21">
        <v>6000</v>
      </c>
      <c r="I45" s="21"/>
      <c r="J45" s="21">
        <v>6000</v>
      </c>
      <c r="K45" s="21">
        <v>0</v>
      </c>
      <c r="L45" s="22">
        <f t="shared" si="3"/>
        <v>6000</v>
      </c>
    </row>
    <row r="46" spans="1:12" x14ac:dyDescent="0.25">
      <c r="A46" t="s">
        <v>809</v>
      </c>
      <c r="B46" s="7" t="s">
        <v>471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1">
        <v>0</v>
      </c>
      <c r="I46" s="21"/>
      <c r="J46" s="21"/>
      <c r="K46" s="21">
        <v>0</v>
      </c>
      <c r="L46" s="22">
        <f t="shared" si="3"/>
        <v>0</v>
      </c>
    </row>
    <row r="47" spans="1:12" x14ac:dyDescent="0.25">
      <c r="A47" t="s">
        <v>810</v>
      </c>
      <c r="B47" s="7" t="s">
        <v>475</v>
      </c>
      <c r="C47" s="22">
        <v>89</v>
      </c>
      <c r="D47" s="22">
        <v>20</v>
      </c>
      <c r="E47" s="22">
        <v>20</v>
      </c>
      <c r="F47" s="22">
        <v>100</v>
      </c>
      <c r="G47" s="22">
        <v>100</v>
      </c>
      <c r="H47" s="21">
        <v>300</v>
      </c>
      <c r="I47" s="21"/>
      <c r="J47" s="21">
        <v>340</v>
      </c>
      <c r="K47" s="21">
        <v>0</v>
      </c>
      <c r="L47" s="22">
        <f t="shared" si="3"/>
        <v>340</v>
      </c>
    </row>
    <row r="48" spans="1:12" x14ac:dyDescent="0.25">
      <c r="A48" t="s">
        <v>811</v>
      </c>
      <c r="B48" s="7" t="s">
        <v>812</v>
      </c>
      <c r="C48" s="22">
        <v>4686</v>
      </c>
      <c r="D48" s="22">
        <v>10660</v>
      </c>
      <c r="E48" s="22">
        <v>57</v>
      </c>
      <c r="F48" s="22">
        <v>15000</v>
      </c>
      <c r="G48" s="22">
        <v>320</v>
      </c>
      <c r="H48" s="21">
        <v>1000</v>
      </c>
      <c r="I48" s="21"/>
      <c r="J48" s="21">
        <v>15000</v>
      </c>
      <c r="K48" s="21">
        <v>0</v>
      </c>
      <c r="L48" s="22">
        <f t="shared" si="3"/>
        <v>15000</v>
      </c>
    </row>
    <row r="49" spans="1:12" x14ac:dyDescent="0.25">
      <c r="A49" t="s">
        <v>813</v>
      </c>
      <c r="B49" s="7" t="s">
        <v>477</v>
      </c>
      <c r="C49" s="22">
        <v>0</v>
      </c>
      <c r="D49" s="22">
        <v>0</v>
      </c>
      <c r="E49" s="22">
        <v>0</v>
      </c>
      <c r="F49" s="22">
        <v>1000</v>
      </c>
      <c r="G49" s="22">
        <v>0</v>
      </c>
      <c r="H49" s="21">
        <v>0</v>
      </c>
      <c r="I49" s="21"/>
      <c r="J49" s="21">
        <v>1000</v>
      </c>
      <c r="K49" s="21">
        <v>0</v>
      </c>
      <c r="L49" s="22">
        <f t="shared" si="3"/>
        <v>1000</v>
      </c>
    </row>
    <row r="50" spans="1:12" x14ac:dyDescent="0.25">
      <c r="A50" t="s">
        <v>814</v>
      </c>
      <c r="B50" s="7" t="s">
        <v>815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1">
        <v>0</v>
      </c>
      <c r="I50" s="21"/>
      <c r="J50" s="21"/>
      <c r="K50" s="21"/>
      <c r="L50" s="22">
        <f t="shared" si="3"/>
        <v>0</v>
      </c>
    </row>
    <row r="51" spans="1:12" x14ac:dyDescent="0.25">
      <c r="C51" s="12"/>
      <c r="D51" s="12"/>
      <c r="E51" s="12"/>
      <c r="F51" s="12"/>
      <c r="G51" s="12"/>
      <c r="H51" s="11"/>
      <c r="I51" s="11"/>
      <c r="J51" s="11"/>
      <c r="K51" s="11"/>
      <c r="L51" s="12"/>
    </row>
    <row r="52" spans="1:12" x14ac:dyDescent="0.25">
      <c r="C52" s="12"/>
      <c r="D52" s="12"/>
      <c r="E52" s="12"/>
      <c r="F52" s="12"/>
      <c r="G52" s="12"/>
      <c r="H52" s="11"/>
      <c r="I52" s="11"/>
      <c r="J52" s="11"/>
      <c r="K52" s="11"/>
      <c r="L52" s="12"/>
    </row>
    <row r="53" spans="1:12" x14ac:dyDescent="0.25">
      <c r="A53" t="s">
        <v>109</v>
      </c>
      <c r="C53" s="12"/>
      <c r="D53" s="12"/>
      <c r="E53" s="12"/>
      <c r="F53" s="12"/>
      <c r="G53" s="12"/>
      <c r="H53" s="11"/>
      <c r="I53" s="11"/>
      <c r="J53" s="11"/>
      <c r="K53" s="11"/>
      <c r="L53" s="12"/>
    </row>
    <row r="54" spans="1:12" x14ac:dyDescent="0.25">
      <c r="B54" t="s">
        <v>478</v>
      </c>
      <c r="C54" s="20">
        <f t="shared" ref="C54:H54" si="4">SUM(C36:C50)</f>
        <v>12353</v>
      </c>
      <c r="D54" s="20">
        <f t="shared" si="4"/>
        <v>19898</v>
      </c>
      <c r="E54" s="20">
        <f t="shared" si="4"/>
        <v>7402</v>
      </c>
      <c r="F54" s="20">
        <f t="shared" si="4"/>
        <v>26650</v>
      </c>
      <c r="G54" s="20">
        <f t="shared" si="4"/>
        <v>5235.18</v>
      </c>
      <c r="H54" s="20">
        <f t="shared" si="4"/>
        <v>9950</v>
      </c>
      <c r="I54" s="20"/>
      <c r="J54" s="20">
        <f>SUM(J36:J50)</f>
        <v>26045</v>
      </c>
      <c r="K54" s="20">
        <f>SUM(K36:K50)</f>
        <v>0</v>
      </c>
      <c r="L54" s="20">
        <f>SUM(L36:L50)</f>
        <v>26045</v>
      </c>
    </row>
    <row r="55" spans="1:12" x14ac:dyDescent="0.25">
      <c r="C55" s="12"/>
      <c r="D55" s="12"/>
      <c r="E55" s="12"/>
      <c r="F55" s="12"/>
      <c r="G55" s="12"/>
      <c r="H55" s="11"/>
      <c r="I55" s="11"/>
      <c r="J55" s="11"/>
      <c r="K55" s="11"/>
      <c r="L55" s="12"/>
    </row>
    <row r="56" spans="1:12" x14ac:dyDescent="0.25">
      <c r="A56" t="s">
        <v>489</v>
      </c>
      <c r="C56" s="12"/>
      <c r="D56" s="12"/>
      <c r="E56" s="12"/>
      <c r="F56" s="12"/>
      <c r="G56" s="12"/>
      <c r="H56" s="11"/>
      <c r="I56" s="11"/>
      <c r="J56" s="11"/>
      <c r="K56" s="11"/>
      <c r="L56" s="12"/>
    </row>
    <row r="57" spans="1:12" x14ac:dyDescent="0.25">
      <c r="A57" t="s">
        <v>18</v>
      </c>
      <c r="C57" s="12"/>
      <c r="D57" s="12"/>
      <c r="E57" s="12"/>
      <c r="F57" s="12"/>
      <c r="G57" s="12"/>
      <c r="H57" s="11"/>
      <c r="I57" s="11"/>
      <c r="J57" s="11"/>
      <c r="K57" s="11"/>
      <c r="L57" s="12"/>
    </row>
    <row r="58" spans="1:12" x14ac:dyDescent="0.25">
      <c r="A58" t="s">
        <v>816</v>
      </c>
      <c r="B58" s="7" t="s">
        <v>491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1">
        <v>100</v>
      </c>
      <c r="I58" s="21"/>
      <c r="J58" s="21">
        <v>100</v>
      </c>
      <c r="K58" s="21">
        <v>0</v>
      </c>
      <c r="L58" s="22">
        <f t="shared" ref="L58:L62" si="5">SUM(J58+K58)</f>
        <v>100</v>
      </c>
    </row>
    <row r="59" spans="1:12" x14ac:dyDescent="0.25">
      <c r="A59" t="s">
        <v>817</v>
      </c>
      <c r="B59" s="7" t="s">
        <v>493</v>
      </c>
      <c r="C59" s="22">
        <v>0</v>
      </c>
      <c r="D59" s="22">
        <v>0</v>
      </c>
      <c r="E59" s="22">
        <v>0</v>
      </c>
      <c r="F59" s="22">
        <v>0</v>
      </c>
      <c r="G59" s="22">
        <v>49.28</v>
      </c>
      <c r="H59" s="21">
        <v>49</v>
      </c>
      <c r="I59" s="21"/>
      <c r="J59" s="21">
        <v>50</v>
      </c>
      <c r="K59" s="21">
        <v>0</v>
      </c>
      <c r="L59" s="22">
        <f t="shared" si="5"/>
        <v>50</v>
      </c>
    </row>
    <row r="60" spans="1:12" x14ac:dyDescent="0.25">
      <c r="A60" t="s">
        <v>818</v>
      </c>
      <c r="B60" s="7" t="s">
        <v>489</v>
      </c>
      <c r="C60" s="22">
        <v>964</v>
      </c>
      <c r="D60" s="22">
        <v>850</v>
      </c>
      <c r="E60" s="22">
        <v>520</v>
      </c>
      <c r="F60" s="22">
        <v>750</v>
      </c>
      <c r="G60" s="22">
        <v>349.69</v>
      </c>
      <c r="H60" s="21">
        <v>750</v>
      </c>
      <c r="I60" s="21"/>
      <c r="J60" s="21">
        <v>1000</v>
      </c>
      <c r="K60" s="21">
        <v>0</v>
      </c>
      <c r="L60" s="22">
        <f t="shared" si="5"/>
        <v>1000</v>
      </c>
    </row>
    <row r="61" spans="1:12" hidden="1" x14ac:dyDescent="0.25">
      <c r="A61" t="s">
        <v>819</v>
      </c>
      <c r="B61" s="7" t="s">
        <v>498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1">
        <v>0</v>
      </c>
      <c r="I61" s="21"/>
      <c r="J61" s="21">
        <v>0</v>
      </c>
      <c r="K61" s="21">
        <v>0</v>
      </c>
      <c r="L61" s="22">
        <f t="shared" si="5"/>
        <v>0</v>
      </c>
    </row>
    <row r="62" spans="1:12" hidden="1" x14ac:dyDescent="0.25">
      <c r="A62" t="s">
        <v>820</v>
      </c>
      <c r="B62" s="7" t="s">
        <v>500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1">
        <v>0</v>
      </c>
      <c r="I62" s="21"/>
      <c r="J62" s="21">
        <v>0</v>
      </c>
      <c r="K62" s="21">
        <v>0</v>
      </c>
      <c r="L62" s="22">
        <f t="shared" si="5"/>
        <v>0</v>
      </c>
    </row>
    <row r="63" spans="1:12" x14ac:dyDescent="0.25">
      <c r="C63" s="12"/>
      <c r="D63" s="12"/>
      <c r="E63" s="12"/>
      <c r="F63" s="12"/>
      <c r="G63" s="12"/>
      <c r="H63" s="11"/>
      <c r="I63" s="11"/>
      <c r="J63" s="11"/>
      <c r="K63" s="11"/>
      <c r="L63" s="12"/>
    </row>
    <row r="64" spans="1:12" x14ac:dyDescent="0.25">
      <c r="C64" s="12"/>
      <c r="D64" s="12"/>
      <c r="E64" s="12"/>
      <c r="F64" s="12"/>
      <c r="G64" s="12"/>
      <c r="H64" s="11"/>
      <c r="I64" s="11"/>
      <c r="J64" s="11"/>
      <c r="K64" s="11"/>
      <c r="L64" s="12"/>
    </row>
    <row r="65" spans="1:12" x14ac:dyDescent="0.25">
      <c r="A65" t="s">
        <v>109</v>
      </c>
      <c r="C65" s="12"/>
      <c r="D65" s="12"/>
      <c r="E65" s="12"/>
      <c r="F65" s="12"/>
      <c r="G65" s="12"/>
      <c r="H65" s="11"/>
      <c r="I65" s="11"/>
      <c r="J65" s="11"/>
      <c r="K65" s="11"/>
      <c r="L65" s="12"/>
    </row>
    <row r="66" spans="1:12" x14ac:dyDescent="0.25">
      <c r="B66" t="s">
        <v>489</v>
      </c>
      <c r="C66" s="20">
        <f t="shared" ref="C66:H66" si="6">SUM(C58:C62)</f>
        <v>964</v>
      </c>
      <c r="D66" s="20">
        <f t="shared" si="6"/>
        <v>850</v>
      </c>
      <c r="E66" s="20">
        <f t="shared" si="6"/>
        <v>520</v>
      </c>
      <c r="F66" s="20">
        <f t="shared" si="6"/>
        <v>750</v>
      </c>
      <c r="G66" s="20">
        <f t="shared" si="6"/>
        <v>398.97</v>
      </c>
      <c r="H66" s="20">
        <f t="shared" si="6"/>
        <v>899</v>
      </c>
      <c r="I66" s="20"/>
      <c r="J66" s="20">
        <f>SUM(J58:J62)</f>
        <v>1150</v>
      </c>
      <c r="K66" s="20">
        <f>SUM(K58:K62)</f>
        <v>0</v>
      </c>
      <c r="L66" s="20">
        <f>SUM(L58:L62)</f>
        <v>1150</v>
      </c>
    </row>
    <row r="67" spans="1:12" x14ac:dyDescent="0.25">
      <c r="A67" t="s">
        <v>110</v>
      </c>
      <c r="C67" s="12"/>
      <c r="D67" s="12"/>
      <c r="E67" s="12"/>
      <c r="F67" s="12"/>
      <c r="G67" s="12"/>
      <c r="H67" s="11"/>
      <c r="I67" s="11"/>
      <c r="J67" s="11"/>
      <c r="K67" s="11"/>
      <c r="L67" s="12"/>
    </row>
    <row r="68" spans="1:12" x14ac:dyDescent="0.25">
      <c r="A68" t="s">
        <v>501</v>
      </c>
      <c r="C68" s="12"/>
      <c r="D68" s="12"/>
      <c r="E68" s="12"/>
      <c r="F68" s="12"/>
      <c r="G68" s="12"/>
      <c r="H68" s="11"/>
      <c r="I68" s="11"/>
      <c r="J68" s="11"/>
      <c r="K68" s="11"/>
      <c r="L68" s="12"/>
    </row>
    <row r="69" spans="1:12" x14ac:dyDescent="0.25">
      <c r="A69" t="s">
        <v>18</v>
      </c>
      <c r="C69" s="12"/>
      <c r="D69" s="12"/>
      <c r="E69" s="12"/>
      <c r="F69" s="12"/>
      <c r="G69" s="12"/>
      <c r="H69" s="11"/>
      <c r="I69" s="11"/>
      <c r="J69" s="11"/>
      <c r="K69" s="11"/>
      <c r="L69" s="12"/>
    </row>
    <row r="70" spans="1:12" x14ac:dyDescent="0.25">
      <c r="A70" t="s">
        <v>822</v>
      </c>
      <c r="B70" s="7" t="s">
        <v>503</v>
      </c>
      <c r="C70" s="22">
        <v>17840</v>
      </c>
      <c r="D70" s="22">
        <v>18620</v>
      </c>
      <c r="E70" s="22">
        <v>20227</v>
      </c>
      <c r="F70" s="22">
        <v>41500</v>
      </c>
      <c r="G70" s="22">
        <v>14800.71</v>
      </c>
      <c r="H70" s="21">
        <v>41500</v>
      </c>
      <c r="I70" s="21"/>
      <c r="J70" s="21">
        <v>41500</v>
      </c>
      <c r="K70" s="21">
        <v>0</v>
      </c>
      <c r="L70" s="22">
        <f t="shared" ref="L70:L75" si="7">SUM(J70+K70)</f>
        <v>41500</v>
      </c>
    </row>
    <row r="71" spans="1:12" x14ac:dyDescent="0.25">
      <c r="A71" t="s">
        <v>823</v>
      </c>
      <c r="B71" s="7" t="s">
        <v>507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1">
        <v>0</v>
      </c>
      <c r="I71" s="21"/>
      <c r="J71" s="21"/>
      <c r="K71" s="21">
        <v>0</v>
      </c>
      <c r="L71" s="22">
        <f t="shared" si="7"/>
        <v>0</v>
      </c>
    </row>
    <row r="72" spans="1:12" x14ac:dyDescent="0.25">
      <c r="A72" t="s">
        <v>824</v>
      </c>
      <c r="B72" s="7" t="s">
        <v>825</v>
      </c>
      <c r="C72" s="22">
        <v>943</v>
      </c>
      <c r="D72" s="22">
        <v>1115</v>
      </c>
      <c r="E72" s="22">
        <v>1255</v>
      </c>
      <c r="F72" s="22">
        <v>1000</v>
      </c>
      <c r="G72" s="22">
        <v>717.95</v>
      </c>
      <c r="H72" s="21">
        <v>1000</v>
      </c>
      <c r="I72" s="21"/>
      <c r="J72" s="21">
        <v>1000</v>
      </c>
      <c r="K72" s="21">
        <v>0</v>
      </c>
      <c r="L72" s="22">
        <f t="shared" si="7"/>
        <v>1000</v>
      </c>
    </row>
    <row r="73" spans="1:12" x14ac:dyDescent="0.25">
      <c r="A73" t="s">
        <v>826</v>
      </c>
      <c r="B73" s="7" t="s">
        <v>517</v>
      </c>
      <c r="C73" s="22">
        <v>71</v>
      </c>
      <c r="D73" s="22">
        <v>364</v>
      </c>
      <c r="E73" s="22">
        <v>325</v>
      </c>
      <c r="F73" s="22">
        <v>300</v>
      </c>
      <c r="G73" s="22">
        <v>0</v>
      </c>
      <c r="H73" s="21">
        <v>300</v>
      </c>
      <c r="I73" s="21"/>
      <c r="J73" s="21">
        <v>300</v>
      </c>
      <c r="K73" s="21">
        <v>0</v>
      </c>
      <c r="L73" s="22">
        <f t="shared" si="7"/>
        <v>300</v>
      </c>
    </row>
    <row r="74" spans="1:12" x14ac:dyDescent="0.25">
      <c r="A74" t="s">
        <v>827</v>
      </c>
      <c r="B74" s="7" t="s">
        <v>519</v>
      </c>
      <c r="C74" s="22">
        <v>0</v>
      </c>
      <c r="D74" s="22">
        <v>0</v>
      </c>
      <c r="E74" s="22">
        <v>245</v>
      </c>
      <c r="F74" s="22">
        <v>500</v>
      </c>
      <c r="G74" s="22">
        <v>0</v>
      </c>
      <c r="H74" s="21">
        <v>500</v>
      </c>
      <c r="I74" s="21"/>
      <c r="J74" s="21">
        <v>500</v>
      </c>
      <c r="K74" s="21">
        <v>0</v>
      </c>
      <c r="L74" s="22">
        <f t="shared" si="7"/>
        <v>500</v>
      </c>
    </row>
    <row r="75" spans="1:12" x14ac:dyDescent="0.25">
      <c r="A75" t="s">
        <v>828</v>
      </c>
      <c r="B75" s="7" t="s">
        <v>521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1">
        <v>0</v>
      </c>
      <c r="I75" s="21"/>
      <c r="J75" s="21">
        <v>0</v>
      </c>
      <c r="K75" s="21">
        <v>0</v>
      </c>
      <c r="L75" s="22">
        <f t="shared" si="7"/>
        <v>0</v>
      </c>
    </row>
    <row r="76" spans="1:12" x14ac:dyDescent="0.25">
      <c r="C76" s="12"/>
      <c r="D76" s="12"/>
      <c r="E76" s="12"/>
      <c r="F76" s="12"/>
      <c r="G76" s="12"/>
      <c r="H76" s="11"/>
      <c r="I76" s="11"/>
      <c r="J76" s="11"/>
      <c r="K76" s="11"/>
      <c r="L76" s="12"/>
    </row>
    <row r="77" spans="1:12" x14ac:dyDescent="0.25">
      <c r="C77" s="12"/>
      <c r="D77" s="12"/>
      <c r="E77" s="12"/>
      <c r="F77" s="12"/>
      <c r="G77" s="12"/>
      <c r="H77" s="11"/>
      <c r="I77" s="11"/>
      <c r="J77" s="11"/>
      <c r="K77" s="11"/>
      <c r="L77" s="12"/>
    </row>
    <row r="78" spans="1:12" x14ac:dyDescent="0.25">
      <c r="A78" t="s">
        <v>109</v>
      </c>
      <c r="C78" s="12"/>
      <c r="D78" s="12"/>
      <c r="E78" s="12"/>
      <c r="F78" s="12"/>
      <c r="G78" s="12"/>
      <c r="H78" s="11"/>
      <c r="I78" s="11"/>
      <c r="J78" s="11"/>
      <c r="K78" s="11"/>
      <c r="L78" s="12"/>
    </row>
    <row r="79" spans="1:12" x14ac:dyDescent="0.25">
      <c r="B79" t="s">
        <v>501</v>
      </c>
      <c r="C79" s="20">
        <f t="shared" ref="C79:H79" si="8">SUM(C70:C75)</f>
        <v>18854</v>
      </c>
      <c r="D79" s="20">
        <f t="shared" si="8"/>
        <v>20099</v>
      </c>
      <c r="E79" s="20">
        <f t="shared" si="8"/>
        <v>22052</v>
      </c>
      <c r="F79" s="20">
        <f t="shared" si="8"/>
        <v>43300</v>
      </c>
      <c r="G79" s="20">
        <f t="shared" si="8"/>
        <v>15518.66</v>
      </c>
      <c r="H79" s="20">
        <f t="shared" si="8"/>
        <v>43300</v>
      </c>
      <c r="I79" s="20"/>
      <c r="J79" s="20">
        <f>SUM(J70:J75)</f>
        <v>43300</v>
      </c>
      <c r="K79" s="20">
        <f>SUM(K70:K75)</f>
        <v>0</v>
      </c>
      <c r="L79" s="20">
        <f>SUM(L70:L75)</f>
        <v>43300</v>
      </c>
    </row>
    <row r="80" spans="1:12" x14ac:dyDescent="0.25">
      <c r="C80" s="12"/>
      <c r="D80" s="12"/>
      <c r="E80" s="12"/>
      <c r="F80" s="12"/>
      <c r="G80" s="12"/>
      <c r="H80" s="11"/>
      <c r="I80" s="11"/>
      <c r="J80" s="11"/>
      <c r="K80" s="11"/>
      <c r="L80" s="12"/>
    </row>
    <row r="81" spans="1:12" x14ac:dyDescent="0.25">
      <c r="A81" t="s">
        <v>530</v>
      </c>
      <c r="C81" s="12"/>
      <c r="D81" s="12"/>
      <c r="E81" s="12"/>
      <c r="F81" s="12"/>
      <c r="G81" s="12"/>
      <c r="H81" s="11"/>
      <c r="I81" s="11"/>
      <c r="J81" s="11"/>
      <c r="K81" s="11"/>
      <c r="L81" s="12"/>
    </row>
    <row r="82" spans="1:12" x14ac:dyDescent="0.25">
      <c r="A82" t="s">
        <v>18</v>
      </c>
      <c r="B82" s="7" t="s">
        <v>18</v>
      </c>
      <c r="C82" s="12"/>
      <c r="D82" s="12"/>
      <c r="E82" s="12"/>
      <c r="F82" s="12"/>
      <c r="G82" s="12"/>
      <c r="H82" s="11"/>
      <c r="I82" s="11"/>
      <c r="J82" s="11"/>
      <c r="K82" s="11"/>
      <c r="L82" s="12"/>
    </row>
    <row r="83" spans="1:12" x14ac:dyDescent="0.25">
      <c r="A83" t="s">
        <v>829</v>
      </c>
      <c r="B83" s="7" t="s">
        <v>534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1">
        <v>0</v>
      </c>
      <c r="I83" s="21"/>
      <c r="J83" s="21">
        <v>0</v>
      </c>
      <c r="K83" s="21">
        <v>0</v>
      </c>
      <c r="L83" s="22">
        <f t="shared" ref="L83" si="9">SUM(J83+K83)</f>
        <v>0</v>
      </c>
    </row>
    <row r="84" spans="1:12" x14ac:dyDescent="0.25">
      <c r="C84" s="12"/>
      <c r="D84" s="12"/>
      <c r="E84" s="12"/>
      <c r="F84" s="12"/>
      <c r="G84" s="12"/>
      <c r="H84" s="11"/>
      <c r="I84" s="11"/>
      <c r="J84" s="11"/>
      <c r="K84" s="11"/>
      <c r="L84" s="12"/>
    </row>
    <row r="85" spans="1:12" x14ac:dyDescent="0.25">
      <c r="C85" s="12"/>
      <c r="D85" s="12"/>
      <c r="E85" s="12"/>
      <c r="F85" s="12"/>
      <c r="G85" s="12"/>
      <c r="H85" s="11"/>
      <c r="I85" s="11"/>
      <c r="J85" s="11"/>
      <c r="K85" s="11"/>
      <c r="L85" s="12"/>
    </row>
    <row r="86" spans="1:12" x14ac:dyDescent="0.25">
      <c r="A86" t="s">
        <v>109</v>
      </c>
      <c r="C86" s="12"/>
      <c r="D86" s="12"/>
      <c r="E86" s="12"/>
      <c r="F86" s="12"/>
      <c r="G86" s="12"/>
      <c r="H86" s="11"/>
      <c r="I86" s="11"/>
      <c r="J86" s="11"/>
      <c r="K86" s="11"/>
      <c r="L86" s="12"/>
    </row>
    <row r="87" spans="1:12" x14ac:dyDescent="0.25">
      <c r="B87" t="s">
        <v>530</v>
      </c>
      <c r="C87" s="20">
        <f t="shared" ref="C87:H87" si="10">SUM(C83:C83)</f>
        <v>0</v>
      </c>
      <c r="D87" s="20">
        <f t="shared" si="10"/>
        <v>0</v>
      </c>
      <c r="E87" s="20">
        <f t="shared" si="10"/>
        <v>0</v>
      </c>
      <c r="F87" s="20">
        <f t="shared" si="10"/>
        <v>0</v>
      </c>
      <c r="G87" s="20">
        <f t="shared" si="10"/>
        <v>0</v>
      </c>
      <c r="H87" s="20">
        <f t="shared" si="10"/>
        <v>0</v>
      </c>
      <c r="I87" s="20"/>
      <c r="J87" s="20">
        <f>SUM(J83:J83)</f>
        <v>0</v>
      </c>
      <c r="K87" s="20">
        <f>SUM(K83:K83)</f>
        <v>0</v>
      </c>
      <c r="L87" s="20">
        <f>SUM(L83:L83)</f>
        <v>0</v>
      </c>
    </row>
    <row r="88" spans="1:12" x14ac:dyDescent="0.25">
      <c r="C88" s="12"/>
      <c r="D88" s="12"/>
      <c r="E88" s="12"/>
      <c r="F88" s="12"/>
      <c r="G88" s="12"/>
      <c r="H88" s="11"/>
      <c r="I88" s="11"/>
      <c r="J88" s="11"/>
      <c r="K88" s="11"/>
      <c r="L88" s="12"/>
    </row>
    <row r="89" spans="1:12" x14ac:dyDescent="0.25">
      <c r="C89" s="12"/>
      <c r="D89" s="12"/>
      <c r="E89" s="12"/>
      <c r="F89" s="12"/>
      <c r="G89" s="12"/>
      <c r="H89" s="11"/>
      <c r="I89" s="11"/>
      <c r="J89" s="11"/>
      <c r="K89" s="11"/>
      <c r="L89" s="12"/>
    </row>
    <row r="90" spans="1:12" x14ac:dyDescent="0.25">
      <c r="A90" t="s">
        <v>109</v>
      </c>
      <c r="C90" s="12"/>
      <c r="D90" s="12"/>
      <c r="E90" s="12"/>
      <c r="F90" s="12"/>
      <c r="G90" s="12"/>
      <c r="H90" s="11"/>
      <c r="I90" s="11"/>
      <c r="J90" s="11"/>
      <c r="K90" s="11"/>
      <c r="L90" s="12"/>
    </row>
    <row r="91" spans="1:12" x14ac:dyDescent="0.25">
      <c r="A91">
        <v>15</v>
      </c>
      <c r="B91" t="s">
        <v>3570</v>
      </c>
      <c r="C91" s="20">
        <f t="shared" ref="C91:H91" si="11">C32+C54+C66+C79+C87</f>
        <v>174735</v>
      </c>
      <c r="D91" s="20">
        <f t="shared" si="11"/>
        <v>196093</v>
      </c>
      <c r="E91" s="20">
        <f t="shared" si="11"/>
        <v>185132</v>
      </c>
      <c r="F91" s="20">
        <f t="shared" si="11"/>
        <v>232507</v>
      </c>
      <c r="G91" s="20">
        <f t="shared" si="11"/>
        <v>172377.15000000005</v>
      </c>
      <c r="H91" s="20">
        <f t="shared" si="11"/>
        <v>223808</v>
      </c>
      <c r="I91" s="20"/>
      <c r="J91" s="20">
        <f>J32+J54+J66+J79+J87</f>
        <v>229029.00599999999</v>
      </c>
      <c r="K91" s="20">
        <f>K32+K54+K66+K79+K87</f>
        <v>0</v>
      </c>
      <c r="L91" s="20">
        <f>L32+L54+L66+L79+L87</f>
        <v>229029.00599999999</v>
      </c>
    </row>
  </sheetData>
  <sheetProtection algorithmName="SHA-512" hashValue="GF+ol8dNcakVlQW8XxrMHYiLuG8ZRQceTjwKZqkN3eH/Vl5p96QmvoYBYzvDhaPBOBcQM1sbIwpY3k8Th9ewSg==" saltValue="xVlD/8snDGlT23Tb7o+Tfw==" spinCount="100000" sheet="1" objects="1" scenarios="1" insertRows="0"/>
  <pageMargins left="0.25" right="0.25" top="0.75" bottom="0.75" header="0.3" footer="0.3"/>
  <pageSetup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28A9-88F3-4C76-AE15-3D043C1B3257}">
  <sheetPr>
    <pageSetUpPr fitToPage="1"/>
  </sheetPr>
  <dimension ref="A1:L77"/>
  <sheetViews>
    <sheetView zoomScaleNormal="100" workbookViewId="0">
      <pane ySplit="8" topLeftCell="A9" activePane="bottomLeft" state="frozen"/>
      <selection pane="bottomLeft" activeCell="A56" sqref="A56"/>
    </sheetView>
  </sheetViews>
  <sheetFormatPr defaultRowHeight="15" x14ac:dyDescent="0.25"/>
  <cols>
    <col min="2" max="2" width="32.5703125" bestFit="1" customWidth="1"/>
    <col min="3" max="3" width="13.140625" bestFit="1" customWidth="1"/>
    <col min="4" max="4" width="14.85546875" bestFit="1" customWidth="1"/>
    <col min="5" max="5" width="13.85546875" bestFit="1" customWidth="1"/>
    <col min="6" max="6" width="14" bestFit="1" customWidth="1"/>
    <col min="7" max="7" width="12.7109375" bestFit="1" customWidth="1"/>
    <col min="8" max="8" width="13.140625" bestFit="1" customWidth="1"/>
    <col min="9" max="9" width="10.7109375" customWidth="1"/>
    <col min="10" max="10" width="13.140625" bestFit="1" customWidth="1"/>
    <col min="11" max="11" width="14.5703125" bestFit="1" customWidth="1"/>
    <col min="12" max="12" width="14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3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2" x14ac:dyDescent="0.25">
      <c r="A8" t="s">
        <v>3571</v>
      </c>
    </row>
    <row r="11" spans="1:12" x14ac:dyDescent="0.25">
      <c r="A11" t="s">
        <v>441</v>
      </c>
    </row>
    <row r="12" spans="1:12" x14ac:dyDescent="0.25">
      <c r="A12" t="s">
        <v>18</v>
      </c>
      <c r="B12" t="s">
        <v>228</v>
      </c>
    </row>
    <row r="13" spans="1:12" x14ac:dyDescent="0.25">
      <c r="A13" t="s">
        <v>832</v>
      </c>
      <c r="B13" t="s">
        <v>569</v>
      </c>
      <c r="C13" s="22">
        <v>858</v>
      </c>
      <c r="D13" s="22">
        <v>-3505</v>
      </c>
      <c r="E13" s="22">
        <v>0</v>
      </c>
      <c r="F13" s="22">
        <v>0</v>
      </c>
      <c r="G13" s="22">
        <v>0</v>
      </c>
      <c r="H13" s="21">
        <v>0</v>
      </c>
      <c r="I13" s="22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833</v>
      </c>
      <c r="B14" t="s">
        <v>396</v>
      </c>
      <c r="C14" s="22">
        <v>68</v>
      </c>
      <c r="D14" s="22">
        <v>9</v>
      </c>
      <c r="E14" s="22">
        <v>117</v>
      </c>
      <c r="F14" s="22">
        <v>252</v>
      </c>
      <c r="G14" s="22">
        <v>63</v>
      </c>
      <c r="H14" s="21">
        <v>100</v>
      </c>
      <c r="I14" s="22"/>
      <c r="J14" s="21">
        <v>63</v>
      </c>
      <c r="K14" s="21">
        <v>0</v>
      </c>
      <c r="L14" s="22">
        <f t="shared" ref="L14:L27" si="0">SUM(J14+K14)</f>
        <v>63</v>
      </c>
    </row>
    <row r="15" spans="1:12" x14ac:dyDescent="0.25">
      <c r="A15" t="s">
        <v>834</v>
      </c>
      <c r="B15" t="s">
        <v>398</v>
      </c>
      <c r="C15" s="22">
        <v>6215</v>
      </c>
      <c r="D15" s="22">
        <v>6450</v>
      </c>
      <c r="E15" s="22">
        <v>7098</v>
      </c>
      <c r="F15" s="22">
        <v>6835</v>
      </c>
      <c r="G15" s="22">
        <v>5071.58</v>
      </c>
      <c r="H15" s="21">
        <v>550</v>
      </c>
      <c r="I15" s="22"/>
      <c r="J15" s="21">
        <v>6551.05</v>
      </c>
      <c r="K15" s="21">
        <v>0</v>
      </c>
      <c r="L15" s="22">
        <f t="shared" si="0"/>
        <v>6551.05</v>
      </c>
    </row>
    <row r="16" spans="1:12" x14ac:dyDescent="0.25">
      <c r="A16" t="s">
        <v>835</v>
      </c>
      <c r="B16" t="s">
        <v>400</v>
      </c>
      <c r="C16" s="22">
        <v>6717</v>
      </c>
      <c r="D16" s="22">
        <v>6971</v>
      </c>
      <c r="E16" s="22">
        <v>8258</v>
      </c>
      <c r="F16" s="22">
        <v>8479</v>
      </c>
      <c r="G16" s="22">
        <v>6612.08</v>
      </c>
      <c r="H16" s="21">
        <v>725</v>
      </c>
      <c r="I16" s="22"/>
      <c r="J16" s="21">
        <f>1877.92+5893.23</f>
        <v>7771.15</v>
      </c>
      <c r="K16" s="21">
        <v>0</v>
      </c>
      <c r="L16" s="22">
        <f t="shared" si="0"/>
        <v>7771.15</v>
      </c>
    </row>
    <row r="17" spans="1:12" x14ac:dyDescent="0.25">
      <c r="A17" t="s">
        <v>836</v>
      </c>
      <c r="B17" t="s">
        <v>402</v>
      </c>
      <c r="C17" s="22">
        <v>7220</v>
      </c>
      <c r="D17" s="22">
        <v>1279</v>
      </c>
      <c r="E17" s="22">
        <v>1615</v>
      </c>
      <c r="F17" s="22">
        <v>1451</v>
      </c>
      <c r="G17" s="22">
        <v>4969.0600000000004</v>
      </c>
      <c r="H17" s="21">
        <v>5500</v>
      </c>
      <c r="I17" s="22"/>
      <c r="J17" s="21">
        <v>17214.48</v>
      </c>
      <c r="K17" s="21">
        <v>0</v>
      </c>
      <c r="L17" s="22">
        <f t="shared" si="0"/>
        <v>17214.48</v>
      </c>
    </row>
    <row r="18" spans="1:12" x14ac:dyDescent="0.25">
      <c r="A18" t="s">
        <v>837</v>
      </c>
      <c r="B18" t="s">
        <v>404</v>
      </c>
      <c r="C18" s="22">
        <v>522</v>
      </c>
      <c r="D18" s="22">
        <v>672</v>
      </c>
      <c r="E18" s="22">
        <v>670</v>
      </c>
      <c r="F18" s="22">
        <v>654</v>
      </c>
      <c r="G18" s="22">
        <v>255.25</v>
      </c>
      <c r="H18" s="21">
        <v>325</v>
      </c>
      <c r="I18" s="22"/>
      <c r="J18" s="21">
        <v>720</v>
      </c>
      <c r="K18" s="21">
        <v>0</v>
      </c>
      <c r="L18" s="22">
        <f t="shared" si="0"/>
        <v>720</v>
      </c>
    </row>
    <row r="19" spans="1:12" x14ac:dyDescent="0.25">
      <c r="A19" t="s">
        <v>838</v>
      </c>
      <c r="B19" t="s">
        <v>406</v>
      </c>
      <c r="C19" s="22">
        <v>442</v>
      </c>
      <c r="D19" s="22">
        <v>1342</v>
      </c>
      <c r="E19" s="22">
        <v>419</v>
      </c>
      <c r="F19" s="22">
        <v>460</v>
      </c>
      <c r="G19" s="22">
        <v>1007.36</v>
      </c>
      <c r="H19" s="21">
        <v>1007</v>
      </c>
      <c r="I19" s="22"/>
      <c r="J19" s="21">
        <f>G19*10%+G19</f>
        <v>1108.096</v>
      </c>
      <c r="K19" s="21">
        <v>0</v>
      </c>
      <c r="L19" s="22">
        <f t="shared" si="0"/>
        <v>1108.096</v>
      </c>
    </row>
    <row r="20" spans="1:12" x14ac:dyDescent="0.25">
      <c r="A20" t="s">
        <v>839</v>
      </c>
      <c r="B20" t="s">
        <v>412</v>
      </c>
      <c r="C20" s="22">
        <v>81349</v>
      </c>
      <c r="D20" s="22">
        <v>83846</v>
      </c>
      <c r="E20" s="22">
        <v>91887</v>
      </c>
      <c r="F20" s="22">
        <v>88200</v>
      </c>
      <c r="G20" s="22">
        <v>66054.42</v>
      </c>
      <c r="H20" s="21">
        <v>75800</v>
      </c>
      <c r="I20" s="22"/>
      <c r="J20" s="21">
        <v>85000</v>
      </c>
      <c r="K20" s="21">
        <v>0</v>
      </c>
      <c r="L20" s="22">
        <f t="shared" si="0"/>
        <v>85000</v>
      </c>
    </row>
    <row r="21" spans="1:12" x14ac:dyDescent="0.25">
      <c r="A21" t="s">
        <v>840</v>
      </c>
      <c r="B21" t="s">
        <v>690</v>
      </c>
      <c r="C21" s="22">
        <v>242</v>
      </c>
      <c r="D21" s="22">
        <v>35</v>
      </c>
      <c r="E21" s="22">
        <v>69</v>
      </c>
      <c r="F21" s="22">
        <v>133</v>
      </c>
      <c r="G21" s="22">
        <v>34.6</v>
      </c>
      <c r="H21" s="21">
        <v>35</v>
      </c>
      <c r="I21" s="22"/>
      <c r="J21" s="21">
        <v>34.6</v>
      </c>
      <c r="K21" s="21">
        <v>0</v>
      </c>
      <c r="L21" s="22">
        <f t="shared" si="0"/>
        <v>34.6</v>
      </c>
    </row>
    <row r="22" spans="1:12" x14ac:dyDescent="0.25">
      <c r="A22" t="s">
        <v>841</v>
      </c>
      <c r="B22" t="s">
        <v>426</v>
      </c>
      <c r="C22" s="22">
        <v>405</v>
      </c>
      <c r="D22" s="22">
        <v>0</v>
      </c>
      <c r="E22" s="22">
        <v>405</v>
      </c>
      <c r="F22" s="22">
        <v>405</v>
      </c>
      <c r="G22" s="22">
        <v>0</v>
      </c>
      <c r="H22" s="21">
        <v>0</v>
      </c>
      <c r="I22" s="22"/>
      <c r="J22" s="21">
        <v>0</v>
      </c>
      <c r="K22" s="21">
        <v>0</v>
      </c>
      <c r="L22" s="22">
        <f t="shared" si="0"/>
        <v>0</v>
      </c>
    </row>
    <row r="23" spans="1:12" x14ac:dyDescent="0.25">
      <c r="A23" t="s">
        <v>842</v>
      </c>
      <c r="B23" t="s">
        <v>428</v>
      </c>
      <c r="C23" s="22">
        <v>531</v>
      </c>
      <c r="D23" s="22">
        <v>600</v>
      </c>
      <c r="E23" s="22">
        <v>600</v>
      </c>
      <c r="F23" s="22">
        <v>600</v>
      </c>
      <c r="G23" s="22">
        <v>253.88</v>
      </c>
      <c r="H23" s="21">
        <v>350</v>
      </c>
      <c r="I23" s="22"/>
      <c r="J23" s="21">
        <v>600</v>
      </c>
      <c r="K23" s="21">
        <v>0</v>
      </c>
      <c r="L23" s="22">
        <f t="shared" si="0"/>
        <v>600</v>
      </c>
    </row>
    <row r="24" spans="1:12" x14ac:dyDescent="0.25">
      <c r="A24" t="s">
        <v>843</v>
      </c>
      <c r="B24" t="s">
        <v>430</v>
      </c>
      <c r="C24" s="22">
        <v>35</v>
      </c>
      <c r="D24" s="22">
        <v>35</v>
      </c>
      <c r="E24" s="22">
        <v>35</v>
      </c>
      <c r="F24" s="22">
        <v>35</v>
      </c>
      <c r="G24" s="22">
        <v>0</v>
      </c>
      <c r="H24" s="21">
        <v>0</v>
      </c>
      <c r="I24" s="22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844</v>
      </c>
      <c r="B25" t="s">
        <v>434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1">
        <v>0</v>
      </c>
      <c r="I25" s="22"/>
      <c r="J25" s="21">
        <v>0</v>
      </c>
      <c r="K25" s="21">
        <v>0</v>
      </c>
      <c r="L25" s="22">
        <f t="shared" si="0"/>
        <v>0</v>
      </c>
    </row>
    <row r="26" spans="1:12" x14ac:dyDescent="0.25">
      <c r="A26" t="s">
        <v>845</v>
      </c>
      <c r="B26" t="s">
        <v>436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1">
        <v>0</v>
      </c>
      <c r="I26" s="22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846</v>
      </c>
      <c r="B27" t="s">
        <v>607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1">
        <v>0</v>
      </c>
      <c r="I27" s="22"/>
      <c r="J27" s="21">
        <v>0</v>
      </c>
      <c r="K27" s="21">
        <v>0</v>
      </c>
      <c r="L27" s="22">
        <f t="shared" si="0"/>
        <v>0</v>
      </c>
    </row>
    <row r="28" spans="1:12" x14ac:dyDescent="0.25"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x14ac:dyDescent="0.25"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x14ac:dyDescent="0.25">
      <c r="A30" t="s">
        <v>109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x14ac:dyDescent="0.25">
      <c r="B31" t="s">
        <v>441</v>
      </c>
      <c r="C31" s="22">
        <f t="shared" ref="C31:H31" si="1">SUM(C13:C27)</f>
        <v>104604</v>
      </c>
      <c r="D31" s="22">
        <f t="shared" si="1"/>
        <v>97734</v>
      </c>
      <c r="E31" s="22">
        <f t="shared" si="1"/>
        <v>111173</v>
      </c>
      <c r="F31" s="22">
        <f t="shared" si="1"/>
        <v>107504</v>
      </c>
      <c r="G31" s="22">
        <f t="shared" si="1"/>
        <v>84321.23000000001</v>
      </c>
      <c r="H31" s="22">
        <f t="shared" si="1"/>
        <v>84392</v>
      </c>
      <c r="I31" s="22"/>
      <c r="J31" s="22">
        <f>SUM(J13:J27)</f>
        <v>119062.376</v>
      </c>
      <c r="K31" s="22">
        <f>SUM(K13:K27)</f>
        <v>0</v>
      </c>
      <c r="L31" s="22">
        <f>SUM(L13:L27)</f>
        <v>119062.376</v>
      </c>
    </row>
    <row r="32" spans="1:12" x14ac:dyDescent="0.25"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x14ac:dyDescent="0.25">
      <c r="A33" t="s">
        <v>478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x14ac:dyDescent="0.25">
      <c r="A34" t="s">
        <v>18</v>
      </c>
      <c r="B34" t="s">
        <v>21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x14ac:dyDescent="0.25">
      <c r="A35" t="s">
        <v>847</v>
      </c>
      <c r="B35" t="s">
        <v>449</v>
      </c>
      <c r="C35" s="22">
        <v>1851</v>
      </c>
      <c r="D35" s="22">
        <v>1007</v>
      </c>
      <c r="E35" s="22">
        <v>1597</v>
      </c>
      <c r="F35" s="22">
        <v>1500</v>
      </c>
      <c r="G35" s="22">
        <v>229.7</v>
      </c>
      <c r="H35" s="21">
        <v>400</v>
      </c>
      <c r="I35" s="22"/>
      <c r="J35" s="21">
        <v>2500</v>
      </c>
      <c r="K35" s="21">
        <v>0</v>
      </c>
      <c r="L35" s="22">
        <f t="shared" ref="L35:L45" si="2">SUM(J35+K35)</f>
        <v>2500</v>
      </c>
    </row>
    <row r="36" spans="1:12" x14ac:dyDescent="0.25">
      <c r="A36" t="s">
        <v>848</v>
      </c>
      <c r="B36" t="s">
        <v>451</v>
      </c>
      <c r="C36" s="22">
        <v>285</v>
      </c>
      <c r="D36" s="22">
        <v>450</v>
      </c>
      <c r="E36" s="22">
        <v>105</v>
      </c>
      <c r="F36" s="22">
        <v>300</v>
      </c>
      <c r="G36" s="22">
        <v>415</v>
      </c>
      <c r="H36" s="21">
        <v>1000</v>
      </c>
      <c r="I36" s="22"/>
      <c r="J36" s="21">
        <v>2500</v>
      </c>
      <c r="K36" s="21">
        <v>0</v>
      </c>
      <c r="L36" s="22">
        <f t="shared" si="2"/>
        <v>2500</v>
      </c>
    </row>
    <row r="37" spans="1:12" x14ac:dyDescent="0.25">
      <c r="B37" t="s">
        <v>3572</v>
      </c>
      <c r="C37" s="22"/>
      <c r="D37" s="22"/>
      <c r="E37" s="22"/>
      <c r="F37" s="22"/>
      <c r="G37" s="22"/>
      <c r="H37" s="21"/>
      <c r="I37" s="22"/>
      <c r="J37" s="21"/>
      <c r="K37" s="21"/>
      <c r="L37" s="22"/>
    </row>
    <row r="38" spans="1:12" x14ac:dyDescent="0.25">
      <c r="A38" t="s">
        <v>849</v>
      </c>
      <c r="B38" t="s">
        <v>453</v>
      </c>
      <c r="C38" s="22">
        <v>0</v>
      </c>
      <c r="D38" s="22">
        <v>510</v>
      </c>
      <c r="E38" s="22">
        <v>1240</v>
      </c>
      <c r="F38" s="22">
        <v>1190</v>
      </c>
      <c r="G38" s="22">
        <v>0</v>
      </c>
      <c r="H38" s="21">
        <v>0</v>
      </c>
      <c r="I38" s="22"/>
      <c r="J38" s="21">
        <v>0</v>
      </c>
      <c r="K38" s="21">
        <v>0</v>
      </c>
      <c r="L38" s="22">
        <f t="shared" si="2"/>
        <v>0</v>
      </c>
    </row>
    <row r="39" spans="1:12" x14ac:dyDescent="0.25">
      <c r="A39" t="s">
        <v>850</v>
      </c>
      <c r="B39" t="s">
        <v>457</v>
      </c>
      <c r="C39" s="22">
        <v>100</v>
      </c>
      <c r="D39" s="22">
        <v>100</v>
      </c>
      <c r="E39" s="22">
        <v>125</v>
      </c>
      <c r="F39" s="22">
        <v>235</v>
      </c>
      <c r="G39" s="22">
        <v>155</v>
      </c>
      <c r="H39" s="21">
        <v>235</v>
      </c>
      <c r="I39" s="22"/>
      <c r="J39" s="21">
        <v>235</v>
      </c>
      <c r="K39" s="21">
        <v>0</v>
      </c>
      <c r="L39" s="22">
        <f t="shared" si="2"/>
        <v>235</v>
      </c>
    </row>
    <row r="40" spans="1:12" x14ac:dyDescent="0.25">
      <c r="A40" t="s">
        <v>851</v>
      </c>
      <c r="B40" t="s">
        <v>459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1">
        <v>0</v>
      </c>
      <c r="I40" s="22"/>
      <c r="J40" s="21">
        <v>150</v>
      </c>
      <c r="K40" s="21">
        <v>0</v>
      </c>
      <c r="L40" s="22">
        <f t="shared" si="2"/>
        <v>150</v>
      </c>
    </row>
    <row r="41" spans="1:12" x14ac:dyDescent="0.25">
      <c r="A41" t="s">
        <v>852</v>
      </c>
      <c r="B41" t="s">
        <v>85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1">
        <v>0</v>
      </c>
      <c r="I41" s="22"/>
      <c r="J41" s="21">
        <v>0</v>
      </c>
      <c r="K41" s="21">
        <v>0</v>
      </c>
      <c r="L41" s="22">
        <f t="shared" si="2"/>
        <v>0</v>
      </c>
    </row>
    <row r="42" spans="1:12" x14ac:dyDescent="0.25">
      <c r="A42" t="s">
        <v>853</v>
      </c>
      <c r="B42" t="s">
        <v>461</v>
      </c>
      <c r="C42" s="22">
        <v>4255</v>
      </c>
      <c r="D42" s="22">
        <v>5124</v>
      </c>
      <c r="E42" s="22">
        <v>4717</v>
      </c>
      <c r="F42" s="22">
        <v>6500</v>
      </c>
      <c r="G42" s="22">
        <v>2302.52</v>
      </c>
      <c r="H42" s="21">
        <v>6500</v>
      </c>
      <c r="I42" s="22"/>
      <c r="J42" s="21">
        <v>6500</v>
      </c>
      <c r="K42" s="21">
        <v>0</v>
      </c>
      <c r="L42" s="22">
        <f t="shared" si="2"/>
        <v>6500</v>
      </c>
    </row>
    <row r="43" spans="1:12" x14ac:dyDescent="0.25">
      <c r="A43" t="s">
        <v>854</v>
      </c>
      <c r="B43" t="s">
        <v>463</v>
      </c>
      <c r="C43" s="22">
        <v>4037</v>
      </c>
      <c r="D43" s="22">
        <v>6346</v>
      </c>
      <c r="E43" s="22">
        <v>12776</v>
      </c>
      <c r="F43" s="22">
        <v>13500</v>
      </c>
      <c r="G43" s="22">
        <v>8813.24</v>
      </c>
      <c r="H43" s="24">
        <v>13500</v>
      </c>
      <c r="I43" s="22"/>
      <c r="J43" s="24">
        <v>14250</v>
      </c>
      <c r="K43" s="21">
        <v>0</v>
      </c>
      <c r="L43" s="22">
        <f t="shared" si="2"/>
        <v>14250</v>
      </c>
    </row>
    <row r="44" spans="1:12" x14ac:dyDescent="0.25">
      <c r="A44" t="s">
        <v>855</v>
      </c>
      <c r="B44" t="s">
        <v>475</v>
      </c>
      <c r="C44" s="22">
        <v>1093</v>
      </c>
      <c r="D44" s="22">
        <v>158</v>
      </c>
      <c r="E44" s="22">
        <v>313</v>
      </c>
      <c r="F44" s="22">
        <v>1000</v>
      </c>
      <c r="G44" s="22">
        <v>189.6</v>
      </c>
      <c r="H44" s="21">
        <v>1000</v>
      </c>
      <c r="I44" s="22"/>
      <c r="J44" s="21">
        <v>500</v>
      </c>
      <c r="K44" s="21">
        <v>0</v>
      </c>
      <c r="L44" s="22">
        <f t="shared" si="2"/>
        <v>500</v>
      </c>
    </row>
    <row r="45" spans="1:12" x14ac:dyDescent="0.25">
      <c r="A45" t="s">
        <v>856</v>
      </c>
      <c r="B45" t="s">
        <v>477</v>
      </c>
      <c r="C45" s="22">
        <v>0</v>
      </c>
      <c r="D45" s="22">
        <v>0</v>
      </c>
      <c r="E45" s="22">
        <v>0</v>
      </c>
      <c r="F45" s="22">
        <v>500</v>
      </c>
      <c r="G45" s="22">
        <v>0</v>
      </c>
      <c r="H45" s="21">
        <v>500</v>
      </c>
      <c r="I45" s="22"/>
      <c r="J45" s="21">
        <v>500</v>
      </c>
      <c r="K45" s="21">
        <v>0</v>
      </c>
      <c r="L45" s="22">
        <f t="shared" si="2"/>
        <v>500</v>
      </c>
    </row>
    <row r="46" spans="1:12" x14ac:dyDescent="0.25"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x14ac:dyDescent="0.25">
      <c r="A48" t="s">
        <v>109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x14ac:dyDescent="0.25">
      <c r="B49" t="s">
        <v>478</v>
      </c>
      <c r="C49" s="22">
        <f t="shared" ref="C49:H49" si="3">SUM(C35:C45)</f>
        <v>11621</v>
      </c>
      <c r="D49" s="22">
        <f t="shared" si="3"/>
        <v>13695</v>
      </c>
      <c r="E49" s="22">
        <f t="shared" si="3"/>
        <v>20873</v>
      </c>
      <c r="F49" s="22">
        <f t="shared" si="3"/>
        <v>24725</v>
      </c>
      <c r="G49" s="22">
        <f t="shared" si="3"/>
        <v>12105.06</v>
      </c>
      <c r="H49" s="22">
        <f t="shared" si="3"/>
        <v>23135</v>
      </c>
      <c r="I49" s="22"/>
      <c r="J49" s="22">
        <f>SUM(J35:J45)</f>
        <v>27135</v>
      </c>
      <c r="K49" s="22">
        <f>SUM(K35:K45)</f>
        <v>0</v>
      </c>
      <c r="L49" s="22">
        <f>SUM(L35:L45)</f>
        <v>27135</v>
      </c>
    </row>
    <row r="50" spans="1:12" x14ac:dyDescent="0.25"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25">
      <c r="A51" t="s">
        <v>489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25">
      <c r="A52" t="s">
        <v>18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25">
      <c r="A53" t="s">
        <v>858</v>
      </c>
      <c r="B53" t="s">
        <v>491</v>
      </c>
      <c r="C53" s="22">
        <v>0</v>
      </c>
      <c r="D53" s="22">
        <v>139</v>
      </c>
      <c r="E53" s="22">
        <v>0</v>
      </c>
      <c r="F53" s="22">
        <v>180</v>
      </c>
      <c r="G53" s="22">
        <v>0</v>
      </c>
      <c r="H53" s="21">
        <v>0</v>
      </c>
      <c r="I53" s="22"/>
      <c r="J53" s="21">
        <v>0</v>
      </c>
      <c r="K53" s="21">
        <v>0</v>
      </c>
      <c r="L53" s="22">
        <f t="shared" ref="L53:L57" si="4">SUM(J53+K53)</f>
        <v>0</v>
      </c>
    </row>
    <row r="54" spans="1:12" x14ac:dyDescent="0.25">
      <c r="A54" t="s">
        <v>859</v>
      </c>
      <c r="B54" t="s">
        <v>493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1">
        <v>0</v>
      </c>
      <c r="I54" s="22"/>
      <c r="J54" s="21">
        <v>0</v>
      </c>
      <c r="K54" s="21">
        <v>0</v>
      </c>
      <c r="L54" s="22">
        <f t="shared" si="4"/>
        <v>0</v>
      </c>
    </row>
    <row r="55" spans="1:12" x14ac:dyDescent="0.25">
      <c r="A55" t="s">
        <v>860</v>
      </c>
      <c r="B55" t="s">
        <v>489</v>
      </c>
      <c r="C55" s="22">
        <v>169</v>
      </c>
      <c r="D55" s="22">
        <v>193</v>
      </c>
      <c r="E55" s="22">
        <v>90</v>
      </c>
      <c r="F55" s="22">
        <v>500</v>
      </c>
      <c r="G55" s="22">
        <v>827.03</v>
      </c>
      <c r="H55" s="21">
        <v>1000</v>
      </c>
      <c r="I55" s="22"/>
      <c r="J55" s="21">
        <v>1000</v>
      </c>
      <c r="K55" s="21">
        <v>0</v>
      </c>
      <c r="L55" s="22">
        <f t="shared" si="4"/>
        <v>1000</v>
      </c>
    </row>
    <row r="56" spans="1:12" hidden="1" x14ac:dyDescent="0.25">
      <c r="A56" t="s">
        <v>861</v>
      </c>
      <c r="B56" t="s">
        <v>498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1">
        <v>0</v>
      </c>
      <c r="I56" s="22"/>
      <c r="J56" s="21">
        <v>0</v>
      </c>
      <c r="K56" s="21">
        <v>0</v>
      </c>
      <c r="L56" s="22">
        <f t="shared" si="4"/>
        <v>0</v>
      </c>
    </row>
    <row r="57" spans="1:12" hidden="1" x14ac:dyDescent="0.25">
      <c r="A57" t="s">
        <v>862</v>
      </c>
      <c r="B57" t="s">
        <v>500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1">
        <v>0</v>
      </c>
      <c r="I57" s="22"/>
      <c r="J57" s="21">
        <v>0</v>
      </c>
      <c r="K57" s="21">
        <v>0</v>
      </c>
      <c r="L57" s="22">
        <f t="shared" si="4"/>
        <v>0</v>
      </c>
    </row>
    <row r="58" spans="1:12" x14ac:dyDescent="0.25"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x14ac:dyDescent="0.25"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x14ac:dyDescent="0.25">
      <c r="A60" t="s">
        <v>109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 x14ac:dyDescent="0.25">
      <c r="B61" t="s">
        <v>489</v>
      </c>
      <c r="C61" s="22">
        <f t="shared" ref="C61:H61" si="5">SUM(C53:C57)</f>
        <v>169</v>
      </c>
      <c r="D61" s="22">
        <f t="shared" si="5"/>
        <v>332</v>
      </c>
      <c r="E61" s="22">
        <f t="shared" si="5"/>
        <v>90</v>
      </c>
      <c r="F61" s="22">
        <f t="shared" si="5"/>
        <v>680</v>
      </c>
      <c r="G61" s="22">
        <f t="shared" si="5"/>
        <v>827.03</v>
      </c>
      <c r="H61" s="22">
        <f t="shared" si="5"/>
        <v>1000</v>
      </c>
      <c r="I61" s="22"/>
      <c r="J61" s="22">
        <f>SUM(J53:J57)</f>
        <v>1000</v>
      </c>
      <c r="K61" s="22">
        <f>SUM(K53:K57)</f>
        <v>0</v>
      </c>
      <c r="L61" s="22">
        <f>SUM(L53:L57)</f>
        <v>1000</v>
      </c>
    </row>
    <row r="62" spans="1:12" x14ac:dyDescent="0.25"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x14ac:dyDescent="0.25">
      <c r="A63" t="s">
        <v>501</v>
      </c>
      <c r="C63" s="12"/>
      <c r="D63" s="12"/>
      <c r="E63" s="12"/>
      <c r="F63" s="12"/>
      <c r="G63" s="12"/>
      <c r="H63" s="12"/>
      <c r="I63" s="12"/>
      <c r="J63" s="18"/>
      <c r="K63" s="12"/>
      <c r="L63" s="12"/>
    </row>
    <row r="64" spans="1:12" x14ac:dyDescent="0.25">
      <c r="A64" t="s">
        <v>18</v>
      </c>
      <c r="C64" s="12"/>
      <c r="D64" s="12"/>
      <c r="E64" s="12"/>
      <c r="F64" s="12"/>
      <c r="G64" s="12"/>
      <c r="H64" s="12"/>
      <c r="I64" s="12"/>
      <c r="J64" s="18"/>
      <c r="K64" s="12"/>
      <c r="L64" s="12"/>
    </row>
    <row r="65" spans="1:12" x14ac:dyDescent="0.25">
      <c r="A65" t="s">
        <v>863</v>
      </c>
      <c r="B65" t="s">
        <v>503</v>
      </c>
      <c r="C65" s="22">
        <v>4632</v>
      </c>
      <c r="D65" s="22">
        <v>1700</v>
      </c>
      <c r="E65" s="22">
        <v>10514</v>
      </c>
      <c r="F65" s="22">
        <v>12000</v>
      </c>
      <c r="G65" s="22">
        <v>83640.91</v>
      </c>
      <c r="H65" s="21">
        <v>90500</v>
      </c>
      <c r="I65" s="22"/>
      <c r="J65" s="24">
        <v>5000</v>
      </c>
      <c r="K65" s="21">
        <v>0</v>
      </c>
      <c r="L65" s="22">
        <f t="shared" ref="L65:L67" si="6">SUM(J65+K65)</f>
        <v>5000</v>
      </c>
    </row>
    <row r="66" spans="1:12" x14ac:dyDescent="0.25">
      <c r="A66" t="s">
        <v>864</v>
      </c>
      <c r="B66" t="s">
        <v>507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1">
        <v>0</v>
      </c>
      <c r="I66" s="22"/>
      <c r="J66" s="24">
        <v>0</v>
      </c>
      <c r="K66" s="21">
        <v>0</v>
      </c>
      <c r="L66" s="22">
        <f t="shared" si="6"/>
        <v>0</v>
      </c>
    </row>
    <row r="67" spans="1:12" x14ac:dyDescent="0.25">
      <c r="A67" t="s">
        <v>865</v>
      </c>
      <c r="B67" t="s">
        <v>521</v>
      </c>
      <c r="C67" s="22">
        <v>0</v>
      </c>
      <c r="D67" s="22">
        <v>5000</v>
      </c>
      <c r="E67" s="22">
        <v>11525</v>
      </c>
      <c r="F67" s="22">
        <v>5725</v>
      </c>
      <c r="G67" s="22">
        <v>1808.8</v>
      </c>
      <c r="H67" s="21">
        <v>2500</v>
      </c>
      <c r="I67" s="22"/>
      <c r="J67" s="24">
        <v>25000</v>
      </c>
      <c r="K67" s="21">
        <v>0</v>
      </c>
      <c r="L67" s="22">
        <f t="shared" si="6"/>
        <v>25000</v>
      </c>
    </row>
    <row r="68" spans="1:12" x14ac:dyDescent="0.25">
      <c r="B68" t="s">
        <v>3573</v>
      </c>
      <c r="C68" s="12"/>
      <c r="D68" s="12"/>
      <c r="E68" s="12"/>
      <c r="F68" s="12"/>
      <c r="G68" s="12"/>
      <c r="H68" s="12"/>
      <c r="I68" s="12"/>
      <c r="J68" s="18"/>
      <c r="K68" s="12"/>
      <c r="L68" s="12"/>
    </row>
    <row r="69" spans="1:12" x14ac:dyDescent="0.25">
      <c r="B69" t="s">
        <v>3574</v>
      </c>
      <c r="C69" s="12"/>
      <c r="D69" s="12"/>
      <c r="E69" s="12"/>
      <c r="F69" s="12"/>
      <c r="G69" s="12"/>
      <c r="H69" s="12"/>
      <c r="I69" s="12"/>
      <c r="J69" s="18"/>
      <c r="K69" s="12"/>
      <c r="L69" s="12"/>
    </row>
    <row r="70" spans="1:12" x14ac:dyDescent="0.25">
      <c r="C70" s="12"/>
      <c r="D70" s="12"/>
      <c r="E70" s="12"/>
      <c r="F70" s="12"/>
      <c r="G70" s="12"/>
      <c r="H70" s="12"/>
      <c r="I70" s="12"/>
      <c r="J70" s="18"/>
      <c r="K70" s="12"/>
      <c r="L70" s="12"/>
    </row>
    <row r="71" spans="1:12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x14ac:dyDescent="0.25">
      <c r="A72" t="s">
        <v>109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 x14ac:dyDescent="0.25">
      <c r="B73" t="s">
        <v>501</v>
      </c>
      <c r="C73" s="22">
        <f t="shared" ref="C73:H73" si="7">SUM(C65:C67)</f>
        <v>4632</v>
      </c>
      <c r="D73" s="22">
        <f t="shared" si="7"/>
        <v>6700</v>
      </c>
      <c r="E73" s="22">
        <f t="shared" si="7"/>
        <v>22039</v>
      </c>
      <c r="F73" s="22">
        <f t="shared" si="7"/>
        <v>17725</v>
      </c>
      <c r="G73" s="22">
        <f t="shared" si="7"/>
        <v>85449.71</v>
      </c>
      <c r="H73" s="22">
        <f t="shared" si="7"/>
        <v>93000</v>
      </c>
      <c r="I73" s="22"/>
      <c r="J73" s="22">
        <f>SUM(J65:J67)</f>
        <v>30000</v>
      </c>
      <c r="K73" s="22">
        <f>SUM(K65:K67)</f>
        <v>0</v>
      </c>
      <c r="L73" s="22">
        <f>SUM(L65:L67)</f>
        <v>30000</v>
      </c>
    </row>
    <row r="74" spans="1:12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 x14ac:dyDescent="0.25">
      <c r="A76" t="s">
        <v>109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x14ac:dyDescent="0.25">
      <c r="A77">
        <v>16</v>
      </c>
      <c r="B77" t="s">
        <v>412</v>
      </c>
      <c r="C77" s="22">
        <f t="shared" ref="C77:H77" si="8">C31+C49+C61+C73</f>
        <v>121026</v>
      </c>
      <c r="D77" s="22">
        <f t="shared" si="8"/>
        <v>118461</v>
      </c>
      <c r="E77" s="22">
        <f t="shared" si="8"/>
        <v>154175</v>
      </c>
      <c r="F77" s="22">
        <f t="shared" si="8"/>
        <v>150634</v>
      </c>
      <c r="G77" s="22">
        <f t="shared" si="8"/>
        <v>182703.03000000003</v>
      </c>
      <c r="H77" s="22">
        <f t="shared" si="8"/>
        <v>201527</v>
      </c>
      <c r="I77" s="22"/>
      <c r="J77" s="22">
        <f>J31+J49+J61+J73</f>
        <v>177197.37599999999</v>
      </c>
      <c r="K77" s="22">
        <f>K31+K49+K61+K73</f>
        <v>0</v>
      </c>
      <c r="L77" s="22">
        <f>L31+L49+L61+L73</f>
        <v>177197.37599999999</v>
      </c>
    </row>
  </sheetData>
  <sheetProtection algorithmName="SHA-512" hashValue="Fi0oWb+8bsXCaUVV9bVNJNasZx7p734PGtPmvYMRBqllh1nIO82sgenNLBnA9nPdabmwhBvWuIMFO5wTwFZFgw==" saltValue="2N0U7XitrQVslPTMzCgzvA==" spinCount="100000" sheet="1" insertRows="0"/>
  <pageMargins left="0.25" right="0.25" top="0.75" bottom="0.75" header="0.3" footer="0.3"/>
  <pageSetup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A1AB-A98E-4DC9-A070-FFFBA0FDF45F}">
  <sheetPr>
    <pageSetUpPr fitToPage="1"/>
  </sheetPr>
  <dimension ref="A1:L113"/>
  <sheetViews>
    <sheetView zoomScaleNormal="100" workbookViewId="0">
      <pane ySplit="8" topLeftCell="A9" activePane="bottomLeft" state="frozen"/>
      <selection pane="bottomLeft" activeCell="A80" sqref="A80:XFD81"/>
    </sheetView>
  </sheetViews>
  <sheetFormatPr defaultRowHeight="15" x14ac:dyDescent="0.25"/>
  <cols>
    <col min="2" max="2" width="32.5703125" style="7" bestFit="1" customWidth="1"/>
    <col min="3" max="3" width="13.140625" style="12" bestFit="1" customWidth="1"/>
    <col min="4" max="4" width="14.85546875" style="12" bestFit="1" customWidth="1"/>
    <col min="5" max="5" width="13.85546875" style="12" bestFit="1" customWidth="1"/>
    <col min="6" max="6" width="14" style="12" bestFit="1" customWidth="1"/>
    <col min="7" max="7" width="12.7109375" style="12" bestFit="1" customWidth="1"/>
    <col min="8" max="8" width="13.140625" style="11" bestFit="1" customWidth="1"/>
    <col min="9" max="9" width="11.5703125" style="11" bestFit="1" customWidth="1"/>
    <col min="10" max="10" width="13.140625" style="11" bestFit="1" customWidth="1"/>
    <col min="11" max="11" width="14.5703125" style="11" bestFit="1" customWidth="1"/>
    <col min="12" max="12" width="14" style="12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3575</v>
      </c>
    </row>
    <row r="11" spans="1:12" x14ac:dyDescent="0.25">
      <c r="A11" t="s">
        <v>441</v>
      </c>
    </row>
    <row r="12" spans="1:12" x14ac:dyDescent="0.25">
      <c r="A12" t="s">
        <v>18</v>
      </c>
      <c r="B12" s="7" t="s">
        <v>228</v>
      </c>
    </row>
    <row r="13" spans="1:12" x14ac:dyDescent="0.25">
      <c r="A13" t="s">
        <v>868</v>
      </c>
      <c r="B13" s="7" t="s">
        <v>869</v>
      </c>
      <c r="C13" s="22">
        <v>1643</v>
      </c>
      <c r="D13" s="22">
        <v>220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870</v>
      </c>
      <c r="B14" s="7" t="s">
        <v>396</v>
      </c>
      <c r="C14" s="22">
        <v>18</v>
      </c>
      <c r="D14" s="22">
        <v>18</v>
      </c>
      <c r="E14" s="22">
        <v>234</v>
      </c>
      <c r="F14" s="22">
        <v>504</v>
      </c>
      <c r="G14" s="22">
        <v>207.79</v>
      </c>
      <c r="H14" s="21">
        <v>208</v>
      </c>
      <c r="I14" s="21"/>
      <c r="J14" s="21">
        <v>189</v>
      </c>
      <c r="K14" s="21">
        <v>0</v>
      </c>
      <c r="L14" s="22">
        <f t="shared" ref="L14:L31" si="0">SUM(J14+K14)</f>
        <v>189</v>
      </c>
    </row>
    <row r="15" spans="1:12" x14ac:dyDescent="0.25">
      <c r="A15" t="s">
        <v>871</v>
      </c>
      <c r="B15" s="7" t="s">
        <v>398</v>
      </c>
      <c r="C15" s="22">
        <v>11800</v>
      </c>
      <c r="D15" s="22">
        <v>11630</v>
      </c>
      <c r="E15" s="22">
        <v>12096</v>
      </c>
      <c r="F15" s="22">
        <v>16499</v>
      </c>
      <c r="G15" s="22">
        <v>12410.1</v>
      </c>
      <c r="H15" s="21">
        <v>14450</v>
      </c>
      <c r="I15" s="21"/>
      <c r="J15" s="21">
        <v>17897.96</v>
      </c>
      <c r="K15" s="21">
        <v>0</v>
      </c>
      <c r="L15" s="22">
        <f t="shared" si="0"/>
        <v>17897.96</v>
      </c>
    </row>
    <row r="16" spans="1:12" x14ac:dyDescent="0.25">
      <c r="A16" t="s">
        <v>872</v>
      </c>
      <c r="B16" s="7" t="s">
        <v>400</v>
      </c>
      <c r="C16" s="22">
        <v>12764</v>
      </c>
      <c r="D16" s="22">
        <v>12769</v>
      </c>
      <c r="E16" s="22">
        <v>14307</v>
      </c>
      <c r="F16" s="22">
        <v>20325</v>
      </c>
      <c r="G16" s="22">
        <v>11763.33</v>
      </c>
      <c r="H16" s="21">
        <v>13750</v>
      </c>
      <c r="I16" s="21"/>
      <c r="J16" s="21">
        <f>5247.77+15990.28</f>
        <v>21238.050000000003</v>
      </c>
      <c r="K16" s="21">
        <v>0</v>
      </c>
      <c r="L16" s="22">
        <f t="shared" si="0"/>
        <v>21238.050000000003</v>
      </c>
    </row>
    <row r="17" spans="1:12" x14ac:dyDescent="0.25">
      <c r="A17" t="s">
        <v>873</v>
      </c>
      <c r="B17" s="7" t="s">
        <v>402</v>
      </c>
      <c r="C17" s="22">
        <v>28370</v>
      </c>
      <c r="D17" s="22">
        <v>24190</v>
      </c>
      <c r="E17" s="22">
        <v>28500</v>
      </c>
      <c r="F17" s="22">
        <v>34526</v>
      </c>
      <c r="G17" s="22">
        <v>26461.25</v>
      </c>
      <c r="H17" s="21">
        <v>29000</v>
      </c>
      <c r="I17" s="21"/>
      <c r="J17" s="21">
        <v>34910.639999999999</v>
      </c>
      <c r="K17" s="21">
        <v>0</v>
      </c>
      <c r="L17" s="22">
        <f t="shared" si="0"/>
        <v>34910.639999999999</v>
      </c>
    </row>
    <row r="18" spans="1:12" x14ac:dyDescent="0.25">
      <c r="A18" t="s">
        <v>874</v>
      </c>
      <c r="B18" s="7" t="s">
        <v>404</v>
      </c>
      <c r="C18" s="22">
        <v>1328</v>
      </c>
      <c r="D18" s="22">
        <v>1215</v>
      </c>
      <c r="E18" s="22">
        <v>1318</v>
      </c>
      <c r="F18" s="22">
        <v>1690</v>
      </c>
      <c r="G18" s="22">
        <v>1039.47</v>
      </c>
      <c r="H18" s="21">
        <v>1300</v>
      </c>
      <c r="I18" s="21"/>
      <c r="J18" s="21">
        <v>2160</v>
      </c>
      <c r="K18" s="21">
        <v>0</v>
      </c>
      <c r="L18" s="22">
        <f t="shared" si="0"/>
        <v>2160</v>
      </c>
    </row>
    <row r="19" spans="1:12" x14ac:dyDescent="0.25">
      <c r="A19" t="s">
        <v>875</v>
      </c>
      <c r="B19" s="7" t="s">
        <v>406</v>
      </c>
      <c r="C19" s="22">
        <v>530</v>
      </c>
      <c r="D19" s="22">
        <v>2524</v>
      </c>
      <c r="E19" s="22">
        <v>581</v>
      </c>
      <c r="F19" s="22">
        <v>639</v>
      </c>
      <c r="G19" s="22">
        <v>1126.83</v>
      </c>
      <c r="H19" s="21">
        <v>1127</v>
      </c>
      <c r="I19" s="21"/>
      <c r="J19" s="21">
        <f>G19*10%+G19</f>
        <v>1239.5129999999999</v>
      </c>
      <c r="K19" s="21">
        <v>0</v>
      </c>
      <c r="L19" s="22">
        <f t="shared" si="0"/>
        <v>1239.5129999999999</v>
      </c>
    </row>
    <row r="20" spans="1:12" x14ac:dyDescent="0.25">
      <c r="A20" t="s">
        <v>876</v>
      </c>
      <c r="B20" s="7" t="s">
        <v>877</v>
      </c>
      <c r="C20" s="22">
        <v>75457</v>
      </c>
      <c r="D20" s="22">
        <v>85104</v>
      </c>
      <c r="E20" s="22">
        <v>85487</v>
      </c>
      <c r="F20" s="22">
        <v>89761</v>
      </c>
      <c r="G20" s="22">
        <v>79075.25</v>
      </c>
      <c r="H20" s="21">
        <v>89431</v>
      </c>
      <c r="I20" s="21"/>
      <c r="J20" s="21">
        <v>89761.1</v>
      </c>
      <c r="K20" s="21">
        <v>0</v>
      </c>
      <c r="L20" s="22">
        <f t="shared" si="0"/>
        <v>89761.1</v>
      </c>
    </row>
    <row r="21" spans="1:12" x14ac:dyDescent="0.25">
      <c r="A21" t="s">
        <v>878</v>
      </c>
      <c r="B21" s="7" t="s">
        <v>879</v>
      </c>
      <c r="C21" s="22">
        <v>0</v>
      </c>
      <c r="D21" s="22">
        <v>0</v>
      </c>
      <c r="E21" s="22">
        <v>0</v>
      </c>
      <c r="F21" s="22">
        <v>36750</v>
      </c>
      <c r="G21" s="22">
        <v>15750.02</v>
      </c>
      <c r="H21" s="21">
        <v>23019</v>
      </c>
      <c r="I21" s="21"/>
      <c r="J21" s="21">
        <v>63000</v>
      </c>
      <c r="K21" s="21">
        <v>0</v>
      </c>
      <c r="L21" s="22">
        <f t="shared" si="0"/>
        <v>63000</v>
      </c>
    </row>
    <row r="22" spans="1:12" x14ac:dyDescent="0.25">
      <c r="A22" t="s">
        <v>880</v>
      </c>
      <c r="B22" s="7" t="s">
        <v>422</v>
      </c>
      <c r="C22" s="22">
        <v>4200</v>
      </c>
      <c r="D22" s="22">
        <v>4200</v>
      </c>
      <c r="E22" s="22">
        <v>4200</v>
      </c>
      <c r="F22" s="22">
        <v>4200</v>
      </c>
      <c r="G22" s="22">
        <v>3715.42</v>
      </c>
      <c r="H22" s="21">
        <v>4199.62</v>
      </c>
      <c r="I22" s="21"/>
      <c r="J22" s="21">
        <v>4200</v>
      </c>
      <c r="K22" s="21">
        <v>0</v>
      </c>
      <c r="L22" s="22">
        <f t="shared" si="0"/>
        <v>4200</v>
      </c>
    </row>
    <row r="23" spans="1:12" x14ac:dyDescent="0.25">
      <c r="A23" t="s">
        <v>881</v>
      </c>
      <c r="B23" s="7" t="s">
        <v>690</v>
      </c>
      <c r="C23" s="22">
        <v>311</v>
      </c>
      <c r="D23" s="22">
        <v>381</v>
      </c>
      <c r="E23" s="22">
        <v>311</v>
      </c>
      <c r="F23" s="22">
        <v>428</v>
      </c>
      <c r="G23" s="22">
        <v>380.62</v>
      </c>
      <c r="H23" s="21">
        <v>381</v>
      </c>
      <c r="I23" s="21"/>
      <c r="J23" s="21">
        <v>484.83</v>
      </c>
      <c r="K23" s="21">
        <v>0</v>
      </c>
      <c r="L23" s="22">
        <f t="shared" si="0"/>
        <v>484.83</v>
      </c>
    </row>
    <row r="24" spans="1:12" x14ac:dyDescent="0.25">
      <c r="A24" t="s">
        <v>882</v>
      </c>
      <c r="B24" s="7" t="s">
        <v>426</v>
      </c>
      <c r="C24" s="22">
        <v>810</v>
      </c>
      <c r="D24" s="22">
        <v>810</v>
      </c>
      <c r="E24" s="22">
        <v>810</v>
      </c>
      <c r="F24" s="22">
        <v>810</v>
      </c>
      <c r="G24" s="22">
        <v>830.44</v>
      </c>
      <c r="H24" s="21">
        <v>830</v>
      </c>
      <c r="I24" s="21"/>
      <c r="J24" s="21">
        <v>1214.73</v>
      </c>
      <c r="K24" s="21">
        <v>0</v>
      </c>
      <c r="L24" s="22">
        <f t="shared" si="0"/>
        <v>1214.73</v>
      </c>
    </row>
    <row r="25" spans="1:12" x14ac:dyDescent="0.25">
      <c r="A25" t="s">
        <v>883</v>
      </c>
      <c r="B25" s="7" t="s">
        <v>428</v>
      </c>
      <c r="C25" s="22">
        <v>1200</v>
      </c>
      <c r="D25" s="22">
        <v>900</v>
      </c>
      <c r="E25" s="22">
        <v>600</v>
      </c>
      <c r="F25" s="22">
        <v>1550</v>
      </c>
      <c r="G25" s="22">
        <v>669.18</v>
      </c>
      <c r="H25" s="21">
        <v>820</v>
      </c>
      <c r="I25" s="21"/>
      <c r="J25" s="21">
        <v>1800</v>
      </c>
      <c r="K25" s="21">
        <v>0</v>
      </c>
      <c r="L25" s="22">
        <f t="shared" si="0"/>
        <v>1800</v>
      </c>
    </row>
    <row r="26" spans="1:12" x14ac:dyDescent="0.25">
      <c r="A26" t="s">
        <v>884</v>
      </c>
      <c r="B26" s="7" t="s">
        <v>430</v>
      </c>
      <c r="C26" s="22">
        <v>69</v>
      </c>
      <c r="D26" s="22">
        <v>69</v>
      </c>
      <c r="E26" s="22">
        <v>69</v>
      </c>
      <c r="F26" s="22">
        <v>69</v>
      </c>
      <c r="G26" s="22">
        <v>69.2</v>
      </c>
      <c r="H26" s="21">
        <v>69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885</v>
      </c>
      <c r="B27" s="7" t="s">
        <v>432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886</v>
      </c>
      <c r="B28" s="7" t="s">
        <v>434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887</v>
      </c>
      <c r="B29" s="7" t="s">
        <v>436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1">
        <v>0</v>
      </c>
      <c r="I29" s="21"/>
      <c r="J29" s="21">
        <v>0</v>
      </c>
      <c r="K29" s="21">
        <v>0</v>
      </c>
      <c r="L29" s="22">
        <f t="shared" si="0"/>
        <v>0</v>
      </c>
    </row>
    <row r="30" spans="1:12" x14ac:dyDescent="0.25">
      <c r="A30" t="s">
        <v>888</v>
      </c>
      <c r="B30" s="7" t="s">
        <v>607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1">
        <v>0</v>
      </c>
      <c r="I30" s="21"/>
      <c r="J30" s="21">
        <v>0</v>
      </c>
      <c r="K30" s="21">
        <v>0</v>
      </c>
      <c r="L30" s="22">
        <f t="shared" si="0"/>
        <v>0</v>
      </c>
    </row>
    <row r="31" spans="1:12" x14ac:dyDescent="0.25">
      <c r="A31" t="s">
        <v>889</v>
      </c>
      <c r="B31" s="7" t="s">
        <v>890</v>
      </c>
      <c r="C31" s="22">
        <v>74844</v>
      </c>
      <c r="D31" s="22">
        <v>63424</v>
      </c>
      <c r="E31" s="22">
        <v>70000</v>
      </c>
      <c r="F31" s="22">
        <v>73500</v>
      </c>
      <c r="G31" s="22">
        <v>64750.15</v>
      </c>
      <c r="H31" s="21">
        <v>73228</v>
      </c>
      <c r="I31" s="21"/>
      <c r="J31" s="21">
        <v>73500</v>
      </c>
      <c r="K31" s="21">
        <v>0</v>
      </c>
      <c r="L31" s="22">
        <f t="shared" si="0"/>
        <v>73500</v>
      </c>
    </row>
    <row r="32" spans="1:12" x14ac:dyDescent="0.25">
      <c r="C32" s="22"/>
      <c r="D32" s="22"/>
      <c r="E32" s="22"/>
      <c r="F32" s="22"/>
      <c r="G32" s="22"/>
      <c r="H32" s="21"/>
      <c r="I32" s="21"/>
      <c r="J32" s="21"/>
      <c r="K32" s="21"/>
      <c r="L32" s="22"/>
    </row>
    <row r="33" spans="1:12" x14ac:dyDescent="0.25">
      <c r="C33" s="22"/>
      <c r="D33" s="22"/>
      <c r="E33" s="22"/>
      <c r="F33" s="22"/>
      <c r="G33" s="22"/>
      <c r="H33" s="21"/>
      <c r="I33" s="21"/>
      <c r="J33" s="21"/>
      <c r="K33" s="21"/>
      <c r="L33" s="22"/>
    </row>
    <row r="34" spans="1:12" x14ac:dyDescent="0.25">
      <c r="A34" t="s">
        <v>109</v>
      </c>
      <c r="C34" s="22"/>
      <c r="D34" s="22"/>
      <c r="E34" s="22"/>
      <c r="F34" s="22"/>
      <c r="G34" s="22"/>
      <c r="H34" s="21"/>
      <c r="I34" s="21"/>
      <c r="J34" s="21"/>
      <c r="K34" s="21"/>
      <c r="L34" s="22"/>
    </row>
    <row r="35" spans="1:12" x14ac:dyDescent="0.25">
      <c r="B35" t="s">
        <v>441</v>
      </c>
      <c r="C35" s="20">
        <f t="shared" ref="C35:H35" si="1">SUM(C13:C31)</f>
        <v>213344</v>
      </c>
      <c r="D35" s="20">
        <f t="shared" si="1"/>
        <v>207454</v>
      </c>
      <c r="E35" s="20">
        <f t="shared" si="1"/>
        <v>218513</v>
      </c>
      <c r="F35" s="20">
        <f t="shared" si="1"/>
        <v>281251</v>
      </c>
      <c r="G35" s="20">
        <f t="shared" si="1"/>
        <v>218249.05000000002</v>
      </c>
      <c r="H35" s="20">
        <f t="shared" si="1"/>
        <v>251812.62</v>
      </c>
      <c r="I35" s="20"/>
      <c r="J35" s="20">
        <f>SUM(J13:J31)</f>
        <v>311595.82299999997</v>
      </c>
      <c r="K35" s="20">
        <f>SUM(K13:K31)</f>
        <v>0</v>
      </c>
      <c r="L35" s="20">
        <f>SUM(L13:L31)</f>
        <v>311595.82299999997</v>
      </c>
    </row>
    <row r="37" spans="1:12" x14ac:dyDescent="0.25">
      <c r="A37" t="s">
        <v>478</v>
      </c>
    </row>
    <row r="38" spans="1:12" x14ac:dyDescent="0.25">
      <c r="A38" t="s">
        <v>18</v>
      </c>
      <c r="B38" s="7" t="s">
        <v>21</v>
      </c>
      <c r="C38" s="22"/>
      <c r="D38" s="22"/>
      <c r="E38" s="22"/>
      <c r="F38" s="22"/>
      <c r="G38" s="22"/>
      <c r="H38" s="21"/>
      <c r="I38" s="21"/>
      <c r="J38" s="21"/>
      <c r="K38" s="21"/>
      <c r="L38" s="22"/>
    </row>
    <row r="39" spans="1:12" hidden="1" x14ac:dyDescent="0.25">
      <c r="A39" t="s">
        <v>891</v>
      </c>
      <c r="B39" s="7" t="s">
        <v>445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1">
        <v>0</v>
      </c>
      <c r="I39" s="21"/>
      <c r="J39" s="21">
        <v>0</v>
      </c>
      <c r="K39" s="21">
        <v>0</v>
      </c>
      <c r="L39" s="22">
        <f>SUM(J39+K39)</f>
        <v>0</v>
      </c>
    </row>
    <row r="40" spans="1:12" x14ac:dyDescent="0.25">
      <c r="A40" t="s">
        <v>892</v>
      </c>
      <c r="B40" s="7" t="s">
        <v>449</v>
      </c>
      <c r="C40" s="22">
        <v>6430</v>
      </c>
      <c r="D40" s="22">
        <v>3276</v>
      </c>
      <c r="E40" s="22">
        <v>3406</v>
      </c>
      <c r="F40" s="22">
        <v>9750</v>
      </c>
      <c r="G40" s="22">
        <v>2042.03</v>
      </c>
      <c r="H40" s="21">
        <v>2500</v>
      </c>
      <c r="I40" s="21"/>
      <c r="J40" s="21">
        <v>7500</v>
      </c>
      <c r="K40" s="21">
        <v>0</v>
      </c>
      <c r="L40" s="22">
        <f t="shared" ref="L40:L67" si="2">SUM(J40+K40)</f>
        <v>7500</v>
      </c>
    </row>
    <row r="41" spans="1:12" x14ac:dyDescent="0.25">
      <c r="A41" t="s">
        <v>893</v>
      </c>
      <c r="B41" s="7" t="s">
        <v>451</v>
      </c>
      <c r="C41" s="22">
        <v>1895</v>
      </c>
      <c r="D41" s="22">
        <v>495</v>
      </c>
      <c r="E41" s="22">
        <v>1750</v>
      </c>
      <c r="F41" s="22">
        <v>1300</v>
      </c>
      <c r="G41" s="22">
        <v>648</v>
      </c>
      <c r="H41" s="21">
        <v>750</v>
      </c>
      <c r="I41" s="21"/>
      <c r="J41" s="21">
        <v>1000</v>
      </c>
      <c r="K41" s="21">
        <v>0</v>
      </c>
      <c r="L41" s="22">
        <f t="shared" si="2"/>
        <v>1000</v>
      </c>
    </row>
    <row r="42" spans="1:12" x14ac:dyDescent="0.25">
      <c r="A42" t="s">
        <v>894</v>
      </c>
      <c r="B42" s="7" t="s">
        <v>453</v>
      </c>
      <c r="C42" s="22">
        <v>3289</v>
      </c>
      <c r="D42" s="22">
        <v>1880</v>
      </c>
      <c r="E42" s="22">
        <v>835</v>
      </c>
      <c r="F42" s="22">
        <v>3000</v>
      </c>
      <c r="G42" s="22">
        <v>2269.4</v>
      </c>
      <c r="H42" s="21">
        <v>2500</v>
      </c>
      <c r="I42" s="21"/>
      <c r="J42" s="21">
        <v>7500</v>
      </c>
      <c r="K42" s="21">
        <v>0</v>
      </c>
      <c r="L42" s="22">
        <f t="shared" si="2"/>
        <v>7500</v>
      </c>
    </row>
    <row r="43" spans="1:12" x14ac:dyDescent="0.25">
      <c r="B43" s="7" t="s">
        <v>3576</v>
      </c>
      <c r="C43" s="22"/>
      <c r="D43" s="22"/>
      <c r="E43" s="22"/>
      <c r="F43" s="22"/>
      <c r="G43" s="22"/>
      <c r="H43" s="21"/>
      <c r="I43" s="21"/>
      <c r="J43" s="21"/>
      <c r="K43" s="21"/>
      <c r="L43" s="22"/>
    </row>
    <row r="44" spans="1:12" x14ac:dyDescent="0.25">
      <c r="B44" s="7" t="s">
        <v>3577</v>
      </c>
      <c r="C44" s="22"/>
      <c r="D44" s="22"/>
      <c r="E44" s="22"/>
      <c r="F44" s="22"/>
      <c r="G44" s="22"/>
      <c r="H44" s="21"/>
      <c r="I44" s="21"/>
      <c r="J44" s="21"/>
      <c r="K44" s="21"/>
      <c r="L44" s="22"/>
    </row>
    <row r="45" spans="1:12" x14ac:dyDescent="0.25">
      <c r="B45" s="7" t="s">
        <v>3578</v>
      </c>
      <c r="C45" s="22"/>
      <c r="D45" s="22"/>
      <c r="E45" s="22"/>
      <c r="F45" s="22"/>
      <c r="G45" s="22"/>
      <c r="H45" s="21"/>
      <c r="I45" s="21"/>
      <c r="J45" s="21"/>
      <c r="K45" s="21"/>
      <c r="L45" s="22"/>
    </row>
    <row r="46" spans="1:12" x14ac:dyDescent="0.25">
      <c r="B46" s="7" t="s">
        <v>3579</v>
      </c>
      <c r="C46" s="22"/>
      <c r="D46" s="22"/>
      <c r="E46" s="22"/>
      <c r="F46" s="22"/>
      <c r="G46" s="22"/>
      <c r="H46" s="21"/>
      <c r="I46" s="21"/>
      <c r="J46" s="21"/>
      <c r="K46" s="21"/>
      <c r="L46" s="22"/>
    </row>
    <row r="47" spans="1:12" x14ac:dyDescent="0.25">
      <c r="B47" s="7" t="s">
        <v>3580</v>
      </c>
      <c r="C47" s="22"/>
      <c r="D47" s="22"/>
      <c r="E47" s="22"/>
      <c r="F47" s="22"/>
      <c r="G47" s="22"/>
      <c r="H47" s="21"/>
      <c r="I47" s="21"/>
      <c r="J47" s="21"/>
      <c r="K47" s="21"/>
      <c r="L47" s="22"/>
    </row>
    <row r="48" spans="1:12" x14ac:dyDescent="0.25">
      <c r="B48" s="7" t="s">
        <v>3581</v>
      </c>
      <c r="C48" s="22"/>
      <c r="D48" s="22"/>
      <c r="E48" s="22"/>
      <c r="F48" s="22"/>
      <c r="G48" s="22"/>
      <c r="H48" s="21"/>
      <c r="I48" s="21"/>
      <c r="J48" s="21"/>
      <c r="K48" s="21"/>
      <c r="L48" s="22"/>
    </row>
    <row r="49" spans="1:12" x14ac:dyDescent="0.25">
      <c r="A49" t="s">
        <v>895</v>
      </c>
      <c r="B49" s="7" t="s">
        <v>896</v>
      </c>
      <c r="C49" s="22">
        <v>2256</v>
      </c>
      <c r="D49" s="22">
        <v>2812</v>
      </c>
      <c r="E49" s="22">
        <v>3044</v>
      </c>
      <c r="F49" s="22">
        <v>3500</v>
      </c>
      <c r="G49" s="22">
        <v>3318.71</v>
      </c>
      <c r="H49" s="21">
        <v>3319</v>
      </c>
      <c r="I49" s="21"/>
      <c r="J49" s="21">
        <v>0</v>
      </c>
      <c r="K49" s="21">
        <v>0</v>
      </c>
      <c r="L49" s="22">
        <f t="shared" si="2"/>
        <v>0</v>
      </c>
    </row>
    <row r="50" spans="1:12" x14ac:dyDescent="0.25">
      <c r="A50" t="s">
        <v>897</v>
      </c>
      <c r="B50" s="7" t="s">
        <v>898</v>
      </c>
      <c r="C50" s="22">
        <v>26238</v>
      </c>
      <c r="D50" s="22">
        <v>11108</v>
      </c>
      <c r="E50" s="22">
        <v>7990</v>
      </c>
      <c r="F50" s="22">
        <v>11000</v>
      </c>
      <c r="G50" s="22">
        <v>4985.34</v>
      </c>
      <c r="H50" s="21">
        <v>4985</v>
      </c>
      <c r="I50" s="21"/>
      <c r="J50" s="21">
        <v>0</v>
      </c>
      <c r="K50" s="21">
        <v>0</v>
      </c>
      <c r="L50" s="22">
        <f t="shared" si="2"/>
        <v>0</v>
      </c>
    </row>
    <row r="51" spans="1:12" x14ac:dyDescent="0.25">
      <c r="A51" t="s">
        <v>899</v>
      </c>
      <c r="B51" s="7" t="s">
        <v>457</v>
      </c>
      <c r="C51" s="22">
        <v>2325</v>
      </c>
      <c r="D51" s="22">
        <v>4305</v>
      </c>
      <c r="E51" s="22">
        <v>3932</v>
      </c>
      <c r="F51" s="22">
        <v>7750</v>
      </c>
      <c r="G51" s="22">
        <v>6054.99</v>
      </c>
      <c r="H51" s="21">
        <v>7000</v>
      </c>
      <c r="I51" s="21"/>
      <c r="J51" s="21">
        <v>15400</v>
      </c>
      <c r="K51" s="21">
        <v>0</v>
      </c>
      <c r="L51" s="22">
        <f t="shared" si="2"/>
        <v>15400</v>
      </c>
    </row>
    <row r="52" spans="1:12" x14ac:dyDescent="0.25">
      <c r="B52" s="7" t="s">
        <v>3582</v>
      </c>
      <c r="C52" s="22"/>
      <c r="D52" s="22"/>
      <c r="E52" s="22"/>
      <c r="F52" s="22"/>
      <c r="G52" s="22"/>
      <c r="H52" s="21"/>
      <c r="I52" s="21"/>
      <c r="J52" s="21"/>
      <c r="K52" s="21"/>
      <c r="L52" s="22"/>
    </row>
    <row r="53" spans="1:12" x14ac:dyDescent="0.25">
      <c r="B53" s="7" t="s">
        <v>3583</v>
      </c>
      <c r="C53" s="22"/>
      <c r="D53" s="22"/>
      <c r="E53" s="22"/>
      <c r="F53" s="22"/>
      <c r="G53" s="22"/>
      <c r="H53" s="21"/>
      <c r="I53" s="21"/>
      <c r="J53" s="21"/>
      <c r="K53" s="21"/>
      <c r="L53" s="22"/>
    </row>
    <row r="54" spans="1:12" x14ac:dyDescent="0.25">
      <c r="B54" s="7" t="s">
        <v>3584</v>
      </c>
      <c r="C54" s="22"/>
      <c r="D54" s="22"/>
      <c r="E54" s="22"/>
      <c r="F54" s="22"/>
      <c r="G54" s="22"/>
      <c r="H54" s="21"/>
      <c r="I54" s="21"/>
      <c r="J54" s="21"/>
      <c r="K54" s="21"/>
      <c r="L54" s="22"/>
    </row>
    <row r="55" spans="1:12" x14ac:dyDescent="0.25">
      <c r="B55" s="7" t="s">
        <v>3585</v>
      </c>
      <c r="C55" s="22"/>
      <c r="D55" s="22"/>
      <c r="E55" s="22"/>
      <c r="F55" s="22"/>
      <c r="G55" s="22"/>
      <c r="H55" s="21"/>
      <c r="I55" s="21"/>
      <c r="J55" s="21"/>
      <c r="K55" s="21"/>
      <c r="L55" s="22"/>
    </row>
    <row r="56" spans="1:12" x14ac:dyDescent="0.25">
      <c r="B56" s="7" t="s">
        <v>3581</v>
      </c>
      <c r="C56" s="22"/>
      <c r="D56" s="22"/>
      <c r="E56" s="22"/>
      <c r="F56" s="22"/>
      <c r="G56" s="22"/>
      <c r="H56" s="21"/>
      <c r="I56" s="21"/>
      <c r="J56" s="21"/>
      <c r="K56" s="21"/>
      <c r="L56" s="22"/>
    </row>
    <row r="57" spans="1:12" x14ac:dyDescent="0.25">
      <c r="B57" s="7" t="s">
        <v>3586</v>
      </c>
      <c r="C57" s="22"/>
      <c r="D57" s="22"/>
      <c r="E57" s="22"/>
      <c r="F57" s="22"/>
      <c r="G57" s="22"/>
      <c r="H57" s="21"/>
      <c r="I57" s="21"/>
      <c r="J57" s="21"/>
      <c r="K57" s="21"/>
      <c r="L57" s="22"/>
    </row>
    <row r="58" spans="1:12" x14ac:dyDescent="0.25">
      <c r="B58" s="7" t="s">
        <v>3587</v>
      </c>
      <c r="C58" s="22"/>
      <c r="D58" s="22"/>
      <c r="E58" s="22"/>
      <c r="F58" s="22"/>
      <c r="G58" s="22"/>
      <c r="H58" s="21"/>
      <c r="I58" s="21"/>
      <c r="J58" s="21"/>
      <c r="K58" s="21"/>
      <c r="L58" s="22"/>
    </row>
    <row r="59" spans="1:12" x14ac:dyDescent="0.25">
      <c r="A59" t="s">
        <v>901</v>
      </c>
      <c r="B59" s="7" t="s">
        <v>459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1">
        <v>0</v>
      </c>
      <c r="I59" s="21"/>
      <c r="J59" s="21">
        <v>0</v>
      </c>
      <c r="K59" s="21">
        <v>0</v>
      </c>
      <c r="L59" s="22">
        <f t="shared" si="2"/>
        <v>0</v>
      </c>
    </row>
    <row r="60" spans="1:12" x14ac:dyDescent="0.25">
      <c r="A60" t="s">
        <v>902</v>
      </c>
      <c r="B60" s="7" t="s">
        <v>461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1">
        <v>0</v>
      </c>
      <c r="I60" s="21"/>
      <c r="J60" s="21">
        <v>0</v>
      </c>
      <c r="K60" s="21">
        <v>0</v>
      </c>
      <c r="L60" s="22">
        <f t="shared" si="2"/>
        <v>0</v>
      </c>
    </row>
    <row r="61" spans="1:12" x14ac:dyDescent="0.25">
      <c r="A61" t="s">
        <v>903</v>
      </c>
      <c r="B61" s="7" t="s">
        <v>465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1">
        <v>0</v>
      </c>
      <c r="I61" s="21"/>
      <c r="J61" s="21">
        <v>0</v>
      </c>
      <c r="K61" s="21">
        <v>0</v>
      </c>
      <c r="L61" s="22">
        <f t="shared" si="2"/>
        <v>0</v>
      </c>
    </row>
    <row r="62" spans="1:12" hidden="1" x14ac:dyDescent="0.25">
      <c r="A62" t="s">
        <v>904</v>
      </c>
      <c r="B62" s="7" t="s">
        <v>710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1">
        <v>0</v>
      </c>
      <c r="I62" s="21"/>
      <c r="J62" s="21">
        <v>0</v>
      </c>
      <c r="K62" s="21">
        <v>0</v>
      </c>
      <c r="L62" s="22">
        <f t="shared" si="2"/>
        <v>0</v>
      </c>
    </row>
    <row r="63" spans="1:12" x14ac:dyDescent="0.25">
      <c r="A63" t="s">
        <v>905</v>
      </c>
      <c r="B63" s="7" t="s">
        <v>471</v>
      </c>
      <c r="C63" s="22">
        <v>0</v>
      </c>
      <c r="D63" s="22">
        <v>139</v>
      </c>
      <c r="E63" s="22">
        <v>362</v>
      </c>
      <c r="F63" s="22">
        <v>500</v>
      </c>
      <c r="G63" s="22">
        <v>393.5</v>
      </c>
      <c r="H63" s="21">
        <v>500</v>
      </c>
      <c r="I63" s="21"/>
      <c r="J63" s="21">
        <v>0</v>
      </c>
      <c r="K63" s="21">
        <v>0</v>
      </c>
      <c r="L63" s="22">
        <f t="shared" si="2"/>
        <v>0</v>
      </c>
    </row>
    <row r="64" spans="1:12" x14ac:dyDescent="0.25">
      <c r="A64" t="s">
        <v>906</v>
      </c>
      <c r="B64" s="7" t="s">
        <v>473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1">
        <v>0</v>
      </c>
      <c r="I64" s="21"/>
      <c r="J64" s="21">
        <v>0</v>
      </c>
      <c r="K64" s="21">
        <v>0</v>
      </c>
      <c r="L64" s="22">
        <f t="shared" si="2"/>
        <v>0</v>
      </c>
    </row>
    <row r="65" spans="1:12" x14ac:dyDescent="0.25">
      <c r="A65" t="s">
        <v>907</v>
      </c>
      <c r="B65" s="7" t="s">
        <v>549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1">
        <v>0</v>
      </c>
      <c r="I65" s="21"/>
      <c r="J65" s="21">
        <v>0</v>
      </c>
      <c r="K65" s="21">
        <v>0</v>
      </c>
      <c r="L65" s="22">
        <f t="shared" si="2"/>
        <v>0</v>
      </c>
    </row>
    <row r="66" spans="1:12" x14ac:dyDescent="0.25">
      <c r="A66" t="s">
        <v>908</v>
      </c>
      <c r="B66" s="7" t="s">
        <v>475</v>
      </c>
      <c r="C66" s="22">
        <v>7588</v>
      </c>
      <c r="D66" s="22">
        <v>2009</v>
      </c>
      <c r="E66" s="22">
        <v>715</v>
      </c>
      <c r="F66" s="22">
        <v>1200</v>
      </c>
      <c r="G66" s="22">
        <v>879.44</v>
      </c>
      <c r="H66" s="21">
        <v>1000</v>
      </c>
      <c r="I66" s="21"/>
      <c r="J66" s="21">
        <v>1000</v>
      </c>
      <c r="K66" s="21">
        <v>0</v>
      </c>
      <c r="L66" s="22">
        <f t="shared" si="2"/>
        <v>1000</v>
      </c>
    </row>
    <row r="67" spans="1:12" x14ac:dyDescent="0.25">
      <c r="A67" t="s">
        <v>909</v>
      </c>
      <c r="B67" s="7" t="s">
        <v>477</v>
      </c>
      <c r="C67" s="22">
        <v>0</v>
      </c>
      <c r="D67" s="22">
        <v>0</v>
      </c>
      <c r="E67" s="22">
        <v>0</v>
      </c>
      <c r="F67" s="22">
        <v>4000</v>
      </c>
      <c r="G67" s="22">
        <v>156.06</v>
      </c>
      <c r="H67" s="21">
        <v>500</v>
      </c>
      <c r="I67" s="21"/>
      <c r="J67" s="21">
        <v>12500</v>
      </c>
      <c r="K67" s="21">
        <v>0</v>
      </c>
      <c r="L67" s="22">
        <f t="shared" si="2"/>
        <v>12500</v>
      </c>
    </row>
    <row r="68" spans="1:12" x14ac:dyDescent="0.25">
      <c r="B68" s="7" t="s">
        <v>3588</v>
      </c>
      <c r="C68" s="22"/>
      <c r="D68" s="22"/>
      <c r="E68" s="22"/>
      <c r="F68" s="22"/>
      <c r="G68" s="22"/>
      <c r="H68" s="21"/>
      <c r="I68" s="21">
        <v>6500</v>
      </c>
      <c r="J68" s="21"/>
      <c r="K68" s="21"/>
      <c r="L68" s="22"/>
    </row>
    <row r="69" spans="1:12" x14ac:dyDescent="0.25">
      <c r="B69" s="7" t="s">
        <v>3589</v>
      </c>
      <c r="C69" s="22"/>
      <c r="D69" s="22"/>
      <c r="E69" s="22"/>
      <c r="F69" s="22"/>
      <c r="G69" s="22"/>
      <c r="H69" s="21"/>
      <c r="I69" s="21">
        <v>6000</v>
      </c>
      <c r="J69" s="21"/>
      <c r="K69" s="21"/>
      <c r="L69" s="22"/>
    </row>
    <row r="70" spans="1:12" x14ac:dyDescent="0.25">
      <c r="C70" s="22"/>
      <c r="D70" s="22"/>
      <c r="E70" s="22"/>
      <c r="F70" s="22"/>
      <c r="G70" s="22"/>
      <c r="H70" s="21"/>
      <c r="I70" s="21"/>
      <c r="J70" s="21"/>
      <c r="K70" s="21"/>
      <c r="L70" s="22"/>
    </row>
    <row r="71" spans="1:12" x14ac:dyDescent="0.25">
      <c r="C71" s="22"/>
      <c r="D71" s="22"/>
      <c r="E71" s="22"/>
      <c r="F71" s="22"/>
      <c r="G71" s="22"/>
      <c r="H71" s="21"/>
      <c r="I71" s="21"/>
      <c r="J71" s="21"/>
      <c r="K71" s="21"/>
      <c r="L71" s="22"/>
    </row>
    <row r="72" spans="1:12" x14ac:dyDescent="0.25">
      <c r="A72" t="s">
        <v>109</v>
      </c>
      <c r="C72" s="22"/>
      <c r="D72" s="22"/>
      <c r="E72" s="22"/>
      <c r="F72" s="22"/>
      <c r="G72" s="22"/>
      <c r="H72" s="21"/>
      <c r="I72" s="21"/>
      <c r="J72" s="21"/>
      <c r="K72" s="21"/>
      <c r="L72" s="22"/>
    </row>
    <row r="73" spans="1:12" x14ac:dyDescent="0.25">
      <c r="B73" t="s">
        <v>478</v>
      </c>
      <c r="C73" s="20">
        <f t="shared" ref="C73:H73" si="3">SUM(C39:C67)</f>
        <v>50021</v>
      </c>
      <c r="D73" s="20">
        <f t="shared" si="3"/>
        <v>26024</v>
      </c>
      <c r="E73" s="20">
        <f t="shared" si="3"/>
        <v>22034</v>
      </c>
      <c r="F73" s="20">
        <f t="shared" si="3"/>
        <v>42000</v>
      </c>
      <c r="G73" s="20">
        <f t="shared" si="3"/>
        <v>20747.47</v>
      </c>
      <c r="H73" s="20">
        <f t="shared" si="3"/>
        <v>23054</v>
      </c>
      <c r="I73" s="20"/>
      <c r="J73" s="20">
        <f>SUM(J39:J67)</f>
        <v>44900</v>
      </c>
      <c r="K73" s="20">
        <f>SUM(K39:K67)</f>
        <v>0</v>
      </c>
      <c r="L73" s="20">
        <f>SUM(L39:L67)</f>
        <v>44900</v>
      </c>
    </row>
    <row r="74" spans="1:12" x14ac:dyDescent="0.25">
      <c r="C74" s="22"/>
      <c r="D74" s="22"/>
      <c r="E74" s="22"/>
      <c r="F74" s="22"/>
      <c r="G74" s="22"/>
      <c r="H74" s="21"/>
      <c r="I74" s="21"/>
      <c r="J74" s="21"/>
      <c r="K74" s="21"/>
      <c r="L74" s="22"/>
    </row>
    <row r="75" spans="1:12" x14ac:dyDescent="0.25">
      <c r="A75" t="s">
        <v>489</v>
      </c>
      <c r="C75" s="22"/>
      <c r="D75" s="22"/>
      <c r="E75" s="22"/>
      <c r="F75" s="22"/>
      <c r="G75" s="22"/>
      <c r="H75" s="21"/>
      <c r="I75" s="21"/>
      <c r="J75" s="21"/>
      <c r="K75" s="21"/>
      <c r="L75" s="22"/>
    </row>
    <row r="76" spans="1:12" x14ac:dyDescent="0.25">
      <c r="A76" t="s">
        <v>18</v>
      </c>
      <c r="C76" s="22"/>
      <c r="D76" s="22"/>
      <c r="E76" s="22"/>
      <c r="F76" s="22"/>
      <c r="G76" s="22"/>
      <c r="H76" s="21"/>
      <c r="I76" s="21"/>
      <c r="J76" s="21"/>
      <c r="K76" s="21"/>
      <c r="L76" s="22"/>
    </row>
    <row r="77" spans="1:12" x14ac:dyDescent="0.25">
      <c r="A77" t="s">
        <v>910</v>
      </c>
      <c r="B77" s="7" t="s">
        <v>491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1">
        <v>0</v>
      </c>
      <c r="I77" s="21"/>
      <c r="J77" s="21">
        <v>0</v>
      </c>
      <c r="K77" s="21">
        <v>0</v>
      </c>
      <c r="L77" s="22">
        <f>SUM(J77+K77)</f>
        <v>0</v>
      </c>
    </row>
    <row r="78" spans="1:12" x14ac:dyDescent="0.25">
      <c r="A78" t="s">
        <v>911</v>
      </c>
      <c r="B78" s="7" t="s">
        <v>493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1">
        <v>0</v>
      </c>
      <c r="I78" s="21"/>
      <c r="J78" s="21">
        <v>0</v>
      </c>
      <c r="K78" s="21">
        <v>0</v>
      </c>
      <c r="L78" s="22">
        <f t="shared" ref="L78:L81" si="4">SUM(J78+K78)</f>
        <v>0</v>
      </c>
    </row>
    <row r="79" spans="1:12" x14ac:dyDescent="0.25">
      <c r="A79" t="s">
        <v>912</v>
      </c>
      <c r="B79" s="7" t="s">
        <v>489</v>
      </c>
      <c r="C79" s="22">
        <v>382</v>
      </c>
      <c r="D79" s="22">
        <v>344</v>
      </c>
      <c r="E79" s="22">
        <v>1491</v>
      </c>
      <c r="F79" s="22">
        <v>2575</v>
      </c>
      <c r="G79" s="22">
        <v>1092.4100000000001</v>
      </c>
      <c r="H79" s="21">
        <v>2000</v>
      </c>
      <c r="I79" s="21"/>
      <c r="J79" s="21">
        <v>2000</v>
      </c>
      <c r="K79" s="21">
        <v>0</v>
      </c>
      <c r="L79" s="22">
        <f t="shared" si="4"/>
        <v>2000</v>
      </c>
    </row>
    <row r="80" spans="1:12" hidden="1" x14ac:dyDescent="0.25">
      <c r="A80" t="s">
        <v>913</v>
      </c>
      <c r="B80" s="7" t="s">
        <v>498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1">
        <v>0</v>
      </c>
      <c r="I80" s="21"/>
      <c r="J80" s="21">
        <v>0</v>
      </c>
      <c r="K80" s="21">
        <v>0</v>
      </c>
      <c r="L80" s="22">
        <f t="shared" si="4"/>
        <v>0</v>
      </c>
    </row>
    <row r="81" spans="1:12" hidden="1" x14ac:dyDescent="0.25">
      <c r="A81" t="s">
        <v>914</v>
      </c>
      <c r="B81" s="7" t="s">
        <v>500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1">
        <v>0</v>
      </c>
      <c r="I81" s="21"/>
      <c r="J81" s="21">
        <v>0</v>
      </c>
      <c r="K81" s="21">
        <v>0</v>
      </c>
      <c r="L81" s="22">
        <f t="shared" si="4"/>
        <v>0</v>
      </c>
    </row>
    <row r="82" spans="1:12" x14ac:dyDescent="0.25">
      <c r="C82" s="22"/>
      <c r="D82" s="22"/>
      <c r="E82" s="22"/>
      <c r="F82" s="22"/>
      <c r="G82" s="22"/>
      <c r="H82" s="21"/>
      <c r="I82" s="21"/>
      <c r="J82" s="21"/>
      <c r="K82" s="21"/>
      <c r="L82" s="22"/>
    </row>
    <row r="83" spans="1:12" x14ac:dyDescent="0.25">
      <c r="C83" s="22"/>
      <c r="D83" s="22"/>
      <c r="E83" s="22"/>
      <c r="F83" s="22"/>
      <c r="G83" s="22"/>
      <c r="H83" s="21"/>
      <c r="I83" s="21"/>
      <c r="J83" s="21"/>
      <c r="K83" s="21"/>
      <c r="L83" s="22"/>
    </row>
    <row r="84" spans="1:12" x14ac:dyDescent="0.25">
      <c r="A84" t="s">
        <v>109</v>
      </c>
      <c r="C84" s="22"/>
      <c r="D84" s="22"/>
      <c r="E84" s="22"/>
      <c r="F84" s="22"/>
      <c r="G84" s="22"/>
      <c r="H84" s="21"/>
      <c r="I84" s="21"/>
      <c r="J84" s="21"/>
      <c r="K84" s="21"/>
      <c r="L84" s="22"/>
    </row>
    <row r="85" spans="1:12" x14ac:dyDescent="0.25">
      <c r="B85" t="s">
        <v>489</v>
      </c>
      <c r="C85" s="20">
        <f t="shared" ref="C85:H85" si="5">SUM(C77:C81)</f>
        <v>382</v>
      </c>
      <c r="D85" s="20">
        <f t="shared" si="5"/>
        <v>344</v>
      </c>
      <c r="E85" s="20">
        <f t="shared" si="5"/>
        <v>1491</v>
      </c>
      <c r="F85" s="20">
        <f t="shared" si="5"/>
        <v>2575</v>
      </c>
      <c r="G85" s="20">
        <f t="shared" si="5"/>
        <v>1092.4100000000001</v>
      </c>
      <c r="H85" s="20">
        <f t="shared" si="5"/>
        <v>2000</v>
      </c>
      <c r="I85" s="20"/>
      <c r="J85" s="20">
        <f>SUM(J77:J81)</f>
        <v>2000</v>
      </c>
      <c r="K85" s="20">
        <f>SUM(K77:K81)</f>
        <v>0</v>
      </c>
      <c r="L85" s="20">
        <f>SUM(L77:L81)</f>
        <v>2000</v>
      </c>
    </row>
    <row r="86" spans="1:12" x14ac:dyDescent="0.25">
      <c r="C86" s="22"/>
      <c r="D86" s="22"/>
      <c r="E86" s="22"/>
      <c r="F86" s="22"/>
      <c r="G86" s="22"/>
      <c r="H86" s="21"/>
      <c r="I86" s="21"/>
      <c r="J86" s="21"/>
      <c r="K86" s="21"/>
      <c r="L86" s="22"/>
    </row>
    <row r="87" spans="1:12" x14ac:dyDescent="0.25">
      <c r="A87" t="s">
        <v>501</v>
      </c>
      <c r="C87" s="22"/>
      <c r="D87" s="22"/>
      <c r="E87" s="22"/>
      <c r="F87" s="22"/>
      <c r="G87" s="22"/>
      <c r="H87" s="21"/>
      <c r="I87" s="21"/>
      <c r="J87" s="21"/>
      <c r="K87" s="21"/>
      <c r="L87" s="22"/>
    </row>
    <row r="88" spans="1:12" x14ac:dyDescent="0.25">
      <c r="A88" t="s">
        <v>18</v>
      </c>
      <c r="C88" s="22"/>
      <c r="D88" s="22"/>
      <c r="E88" s="22"/>
      <c r="F88" s="22"/>
      <c r="G88" s="22"/>
      <c r="H88" s="21"/>
      <c r="I88" s="21"/>
      <c r="J88" s="21"/>
      <c r="K88" s="21"/>
      <c r="L88" s="22"/>
    </row>
    <row r="89" spans="1:12" x14ac:dyDescent="0.25">
      <c r="A89" t="s">
        <v>915</v>
      </c>
      <c r="B89" s="7" t="s">
        <v>503</v>
      </c>
      <c r="C89" s="22">
        <v>22097</v>
      </c>
      <c r="D89" s="22">
        <v>23101</v>
      </c>
      <c r="E89" s="22">
        <v>12532</v>
      </c>
      <c r="F89" s="22">
        <v>17000</v>
      </c>
      <c r="G89" s="22">
        <v>20024.64</v>
      </c>
      <c r="H89" s="21">
        <v>23000</v>
      </c>
      <c r="I89" s="21"/>
      <c r="J89" s="21">
        <v>20000</v>
      </c>
      <c r="K89" s="21">
        <v>5000</v>
      </c>
      <c r="L89" s="22">
        <f>SUM(J89+K89)</f>
        <v>25000</v>
      </c>
    </row>
    <row r="90" spans="1:12" x14ac:dyDescent="0.25">
      <c r="B90" s="7" t="s">
        <v>3590</v>
      </c>
      <c r="C90" s="22"/>
      <c r="D90" s="22"/>
      <c r="E90" s="22"/>
      <c r="F90" s="22"/>
      <c r="G90" s="22"/>
      <c r="H90" s="21"/>
      <c r="I90" s="21">
        <v>16000</v>
      </c>
      <c r="J90" s="21"/>
      <c r="K90" s="21"/>
      <c r="L90" s="22"/>
    </row>
    <row r="91" spans="1:12" x14ac:dyDescent="0.25">
      <c r="B91" s="7" t="s">
        <v>3591</v>
      </c>
      <c r="C91" s="22"/>
      <c r="D91" s="22"/>
      <c r="E91" s="22"/>
      <c r="F91" s="22"/>
      <c r="G91" s="22"/>
      <c r="H91" s="21"/>
      <c r="I91" s="21">
        <v>5000</v>
      </c>
      <c r="J91" s="21"/>
      <c r="K91" s="21"/>
      <c r="L91" s="22"/>
    </row>
    <row r="92" spans="1:12" x14ac:dyDescent="0.25">
      <c r="B92" s="7" t="s">
        <v>3592</v>
      </c>
      <c r="C92" s="22"/>
      <c r="D92" s="22"/>
      <c r="E92" s="22"/>
      <c r="F92" s="22"/>
      <c r="G92" s="22"/>
      <c r="H92" s="21"/>
      <c r="I92" s="21">
        <v>4000</v>
      </c>
      <c r="J92" s="21"/>
      <c r="K92" s="21"/>
      <c r="L92" s="22"/>
    </row>
    <row r="93" spans="1:12" x14ac:dyDescent="0.25">
      <c r="A93" t="s">
        <v>916</v>
      </c>
      <c r="B93" s="7" t="s">
        <v>507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1">
        <v>0</v>
      </c>
      <c r="I93" s="21"/>
      <c r="J93" s="21">
        <v>0</v>
      </c>
      <c r="K93" s="21">
        <v>0</v>
      </c>
      <c r="L93" s="22">
        <f t="shared" ref="L93:L96" si="6">SUM(J93+K93)</f>
        <v>0</v>
      </c>
    </row>
    <row r="94" spans="1:12" x14ac:dyDescent="0.25">
      <c r="A94" t="s">
        <v>917</v>
      </c>
      <c r="B94" s="7" t="s">
        <v>517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1">
        <v>0</v>
      </c>
      <c r="I94" s="21"/>
      <c r="J94" s="21">
        <v>0</v>
      </c>
      <c r="K94" s="21">
        <v>0</v>
      </c>
      <c r="L94" s="22">
        <f t="shared" si="6"/>
        <v>0</v>
      </c>
    </row>
    <row r="95" spans="1:12" x14ac:dyDescent="0.25">
      <c r="A95" t="s">
        <v>918</v>
      </c>
      <c r="B95" s="7" t="s">
        <v>519</v>
      </c>
      <c r="C95" s="22">
        <v>69</v>
      </c>
      <c r="D95" s="22">
        <v>0</v>
      </c>
      <c r="E95" s="22">
        <v>0</v>
      </c>
      <c r="F95" s="22">
        <v>5500</v>
      </c>
      <c r="G95" s="22">
        <v>400</v>
      </c>
      <c r="H95" s="21">
        <v>1500</v>
      </c>
      <c r="I95" s="21"/>
      <c r="J95" s="21">
        <v>3000</v>
      </c>
      <c r="K95" s="21">
        <v>0</v>
      </c>
      <c r="L95" s="22">
        <f t="shared" si="6"/>
        <v>3000</v>
      </c>
    </row>
    <row r="96" spans="1:12" x14ac:dyDescent="0.25">
      <c r="A96" t="s">
        <v>919</v>
      </c>
      <c r="B96" s="7" t="s">
        <v>521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1">
        <v>0</v>
      </c>
      <c r="I96" s="21"/>
      <c r="J96" s="21">
        <v>0</v>
      </c>
      <c r="K96" s="21">
        <v>0</v>
      </c>
      <c r="L96" s="22">
        <f t="shared" si="6"/>
        <v>0</v>
      </c>
    </row>
    <row r="97" spans="1:12" x14ac:dyDescent="0.25">
      <c r="C97" s="22"/>
      <c r="D97" s="22"/>
      <c r="E97" s="22"/>
      <c r="F97" s="22"/>
      <c r="G97" s="22"/>
      <c r="H97" s="21"/>
      <c r="I97" s="21"/>
      <c r="J97" s="21"/>
      <c r="K97" s="21"/>
      <c r="L97" s="22"/>
    </row>
    <row r="98" spans="1:12" x14ac:dyDescent="0.25">
      <c r="C98" s="22"/>
      <c r="D98" s="22"/>
      <c r="E98" s="22"/>
      <c r="F98" s="22"/>
      <c r="G98" s="22"/>
      <c r="H98" s="21"/>
      <c r="I98" s="21"/>
      <c r="J98" s="21"/>
      <c r="K98" s="21"/>
      <c r="L98" s="22"/>
    </row>
    <row r="99" spans="1:12" x14ac:dyDescent="0.25">
      <c r="A99" t="s">
        <v>109</v>
      </c>
      <c r="C99" s="22"/>
      <c r="D99" s="22"/>
      <c r="E99" s="22"/>
      <c r="F99" s="22"/>
      <c r="G99" s="22"/>
      <c r="H99" s="21"/>
      <c r="I99" s="21"/>
      <c r="J99" s="21"/>
      <c r="K99" s="21"/>
      <c r="L99" s="22"/>
    </row>
    <row r="100" spans="1:12" x14ac:dyDescent="0.25">
      <c r="B100" t="s">
        <v>501</v>
      </c>
      <c r="C100" s="20">
        <f t="shared" ref="C100:H100" si="7">SUM(C89:C96)</f>
        <v>22166</v>
      </c>
      <c r="D100" s="20">
        <f t="shared" si="7"/>
        <v>23101</v>
      </c>
      <c r="E100" s="20">
        <f t="shared" si="7"/>
        <v>12532</v>
      </c>
      <c r="F100" s="20">
        <f t="shared" si="7"/>
        <v>22500</v>
      </c>
      <c r="G100" s="20">
        <f t="shared" si="7"/>
        <v>20424.64</v>
      </c>
      <c r="H100" s="20">
        <f t="shared" si="7"/>
        <v>24500</v>
      </c>
      <c r="I100" s="20"/>
      <c r="J100" s="20">
        <f>SUM(J89:J96)</f>
        <v>23000</v>
      </c>
      <c r="K100" s="20">
        <f>SUM(K89:K96)</f>
        <v>5000</v>
      </c>
      <c r="L100" s="20">
        <f>SUM(L89:L96)</f>
        <v>28000</v>
      </c>
    </row>
    <row r="101" spans="1:12" x14ac:dyDescent="0.25">
      <c r="C101" s="22"/>
      <c r="D101" s="22"/>
      <c r="E101" s="22"/>
      <c r="F101" s="22"/>
      <c r="G101" s="22"/>
      <c r="H101" s="21"/>
      <c r="I101" s="21"/>
      <c r="J101" s="21"/>
      <c r="K101" s="21"/>
      <c r="L101" s="22"/>
    </row>
    <row r="102" spans="1:12" x14ac:dyDescent="0.25">
      <c r="A102" t="s">
        <v>530</v>
      </c>
      <c r="C102" s="22"/>
      <c r="D102" s="22"/>
      <c r="E102" s="22"/>
      <c r="F102" s="22"/>
      <c r="G102" s="22"/>
      <c r="H102" s="21"/>
      <c r="I102" s="21"/>
      <c r="J102" s="21"/>
      <c r="K102" s="21"/>
      <c r="L102" s="22"/>
    </row>
    <row r="103" spans="1:12" x14ac:dyDescent="0.25">
      <c r="A103" t="s">
        <v>18</v>
      </c>
      <c r="B103" s="7" t="s">
        <v>526</v>
      </c>
      <c r="C103" s="22"/>
      <c r="D103" s="22"/>
      <c r="E103" s="22"/>
      <c r="F103" s="22"/>
      <c r="G103" s="22"/>
      <c r="H103" s="21"/>
      <c r="I103" s="21"/>
      <c r="J103" s="21"/>
      <c r="K103" s="21"/>
      <c r="L103" s="22"/>
    </row>
    <row r="104" spans="1:12" x14ac:dyDescent="0.25">
      <c r="A104" t="s">
        <v>920</v>
      </c>
      <c r="B104" s="7" t="s">
        <v>534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1">
        <v>0</v>
      </c>
      <c r="I104" s="21"/>
      <c r="J104" s="21">
        <v>0</v>
      </c>
      <c r="K104" s="21">
        <v>0</v>
      </c>
      <c r="L104" s="22">
        <f>SUM(J104+K104)</f>
        <v>0</v>
      </c>
    </row>
    <row r="105" spans="1:12" x14ac:dyDescent="0.25">
      <c r="C105" s="22"/>
      <c r="D105" s="22"/>
      <c r="E105" s="22"/>
      <c r="F105" s="22"/>
      <c r="G105" s="22"/>
      <c r="H105" s="21"/>
      <c r="I105" s="21"/>
      <c r="J105" s="21"/>
      <c r="K105" s="21"/>
      <c r="L105" s="22"/>
    </row>
    <row r="106" spans="1:12" x14ac:dyDescent="0.25">
      <c r="C106" s="22"/>
      <c r="D106" s="22"/>
      <c r="E106" s="22"/>
      <c r="F106" s="22"/>
      <c r="G106" s="22"/>
      <c r="H106" s="21"/>
      <c r="I106" s="21"/>
      <c r="J106" s="21"/>
      <c r="K106" s="21"/>
      <c r="L106" s="22"/>
    </row>
    <row r="107" spans="1:12" x14ac:dyDescent="0.25">
      <c r="A107" t="s">
        <v>109</v>
      </c>
      <c r="C107" s="22"/>
      <c r="D107" s="22"/>
      <c r="E107" s="22"/>
      <c r="F107" s="22"/>
      <c r="G107" s="22"/>
      <c r="H107" s="21"/>
      <c r="I107" s="21"/>
      <c r="J107" s="21"/>
      <c r="K107" s="21"/>
      <c r="L107" s="22"/>
    </row>
    <row r="108" spans="1:12" x14ac:dyDescent="0.25">
      <c r="B108" t="s">
        <v>530</v>
      </c>
      <c r="C108" s="20">
        <f t="shared" ref="C108:H108" si="8">SUM(C104:C104)</f>
        <v>0</v>
      </c>
      <c r="D108" s="20">
        <f t="shared" si="8"/>
        <v>0</v>
      </c>
      <c r="E108" s="20">
        <f t="shared" si="8"/>
        <v>0</v>
      </c>
      <c r="F108" s="20">
        <f t="shared" si="8"/>
        <v>0</v>
      </c>
      <c r="G108" s="20">
        <f t="shared" si="8"/>
        <v>0</v>
      </c>
      <c r="H108" s="20">
        <f t="shared" si="8"/>
        <v>0</v>
      </c>
      <c r="I108" s="20"/>
      <c r="J108" s="20">
        <f>SUM(J104:J104)</f>
        <v>0</v>
      </c>
      <c r="K108" s="20">
        <f>SUM(K104:K104)</f>
        <v>0</v>
      </c>
      <c r="L108" s="20">
        <f>SUM(L104:L104)</f>
        <v>0</v>
      </c>
    </row>
    <row r="109" spans="1:12" x14ac:dyDescent="0.25">
      <c r="C109" s="22"/>
      <c r="D109" s="22"/>
      <c r="E109" s="22"/>
      <c r="F109" s="22"/>
      <c r="G109" s="22"/>
      <c r="H109" s="21"/>
      <c r="I109" s="21"/>
      <c r="J109" s="21"/>
      <c r="K109" s="21"/>
      <c r="L109" s="22"/>
    </row>
    <row r="110" spans="1:12" x14ac:dyDescent="0.25">
      <c r="C110" s="22"/>
      <c r="D110" s="22"/>
      <c r="E110" s="22"/>
      <c r="F110" s="22"/>
      <c r="G110" s="22"/>
      <c r="H110" s="21"/>
      <c r="I110" s="21"/>
      <c r="J110" s="21"/>
      <c r="K110" s="21"/>
      <c r="L110" s="22"/>
    </row>
    <row r="111" spans="1:12" x14ac:dyDescent="0.25">
      <c r="A111" t="s">
        <v>109</v>
      </c>
      <c r="C111" s="22"/>
      <c r="D111" s="22"/>
      <c r="E111" s="22"/>
      <c r="F111" s="22"/>
      <c r="G111" s="22"/>
      <c r="H111" s="21"/>
      <c r="I111" s="21"/>
      <c r="J111" s="21"/>
      <c r="K111" s="21"/>
      <c r="L111" s="22"/>
    </row>
    <row r="112" spans="1:12" x14ac:dyDescent="0.25">
      <c r="A112">
        <v>17</v>
      </c>
      <c r="B112" t="s">
        <v>3593</v>
      </c>
      <c r="C112" s="20">
        <f t="shared" ref="C112:H112" si="9">C35+C73+C85+C100+C108</f>
        <v>285913</v>
      </c>
      <c r="D112" s="20">
        <f t="shared" si="9"/>
        <v>256923</v>
      </c>
      <c r="E112" s="20">
        <f t="shared" si="9"/>
        <v>254570</v>
      </c>
      <c r="F112" s="20">
        <f t="shared" si="9"/>
        <v>348326</v>
      </c>
      <c r="G112" s="20">
        <f t="shared" si="9"/>
        <v>260513.57</v>
      </c>
      <c r="H112" s="20">
        <f t="shared" si="9"/>
        <v>301366.62</v>
      </c>
      <c r="I112" s="20"/>
      <c r="J112" s="20">
        <f>J35+J73+J85+J100+J108</f>
        <v>381495.82299999997</v>
      </c>
      <c r="K112" s="20">
        <f>K35+K73+K85+K100+K108</f>
        <v>5000</v>
      </c>
      <c r="L112" s="20">
        <f>L35+L73+L85+L100+L108</f>
        <v>386495.82299999997</v>
      </c>
    </row>
    <row r="113" spans="3:12" x14ac:dyDescent="0.25">
      <c r="C113" s="22"/>
      <c r="D113" s="22"/>
      <c r="E113" s="22"/>
      <c r="F113" s="22"/>
      <c r="G113" s="22"/>
      <c r="H113" s="21"/>
      <c r="I113" s="21"/>
      <c r="J113" s="21"/>
      <c r="K113" s="21"/>
      <c r="L113" s="22"/>
    </row>
  </sheetData>
  <sheetProtection algorithmName="SHA-512" hashValue="NGNR1wi2C6LcZQ+AR4yWo7akZqeAfa05lfrjg9rgeP7YPUES2yr3B2FT3TyuNwTEXRgvQTDBI1sAU3sX3aVfIQ==" saltValue="lQQUtKor/6n4+3qSO+oMuQ==" spinCount="100000" sheet="1" objects="1" scenarios="1" insertRows="0"/>
  <pageMargins left="0.25" right="0.25" top="0.75" bottom="0.75" header="0.3" footer="0.3"/>
  <pageSetup scale="7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26F6D-BB04-4981-B04C-46C75C55FAC2}">
  <sheetPr>
    <pageSetUpPr fitToPage="1"/>
  </sheetPr>
  <dimension ref="A1:L97"/>
  <sheetViews>
    <sheetView zoomScaleNormal="100" workbookViewId="0">
      <pane ySplit="8" topLeftCell="A9" activePane="bottomLeft" state="frozen"/>
      <selection pane="bottomLeft" activeCell="A63" sqref="A63:XFD64"/>
    </sheetView>
  </sheetViews>
  <sheetFormatPr defaultRowHeight="15" x14ac:dyDescent="0.25"/>
  <cols>
    <col min="2" max="2" width="32.5703125" bestFit="1" customWidth="1"/>
    <col min="3" max="3" width="13.140625" bestFit="1" customWidth="1"/>
    <col min="4" max="4" width="14.85546875" bestFit="1" customWidth="1"/>
    <col min="5" max="5" width="13.85546875" bestFit="1" customWidth="1"/>
    <col min="6" max="6" width="14" bestFit="1" customWidth="1"/>
    <col min="7" max="7" width="12.7109375" bestFit="1" customWidth="1"/>
    <col min="8" max="8" width="13.140625" bestFit="1" customWidth="1"/>
    <col min="9" max="9" width="10.7109375" style="7" customWidth="1"/>
    <col min="10" max="10" width="13.140625" bestFit="1" customWidth="1"/>
    <col min="11" max="11" width="14.5703125" bestFit="1" customWidth="1"/>
    <col min="12" max="12" width="14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9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9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2" x14ac:dyDescent="0.25">
      <c r="A8" t="s">
        <v>921</v>
      </c>
    </row>
    <row r="11" spans="1:12" x14ac:dyDescent="0.25">
      <c r="A11" t="s">
        <v>441</v>
      </c>
    </row>
    <row r="12" spans="1:12" x14ac:dyDescent="0.25">
      <c r="A12" t="s">
        <v>18</v>
      </c>
      <c r="B12" t="s">
        <v>228</v>
      </c>
    </row>
    <row r="13" spans="1:12" x14ac:dyDescent="0.25">
      <c r="A13" t="s">
        <v>922</v>
      </c>
      <c r="B13" t="s">
        <v>923</v>
      </c>
      <c r="C13" s="22">
        <v>1377</v>
      </c>
      <c r="D13" s="22">
        <v>-5962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924</v>
      </c>
      <c r="B14" t="s">
        <v>925</v>
      </c>
      <c r="C14" s="22">
        <v>9</v>
      </c>
      <c r="D14" s="22">
        <v>0</v>
      </c>
      <c r="E14" s="22">
        <v>0</v>
      </c>
      <c r="F14" s="22">
        <v>0</v>
      </c>
      <c r="G14" s="22">
        <v>0</v>
      </c>
      <c r="H14" s="21">
        <v>0</v>
      </c>
      <c r="I14" s="21"/>
      <c r="J14" s="21">
        <v>0</v>
      </c>
      <c r="K14" s="21">
        <v>0</v>
      </c>
      <c r="L14" s="22">
        <f t="shared" ref="L14:L31" si="0">SUM(J14+K14)</f>
        <v>0</v>
      </c>
    </row>
    <row r="15" spans="1:12" x14ac:dyDescent="0.25">
      <c r="A15" t="s">
        <v>926</v>
      </c>
      <c r="B15" t="s">
        <v>927</v>
      </c>
      <c r="C15" s="22">
        <v>10422</v>
      </c>
      <c r="D15" s="22">
        <v>3519</v>
      </c>
      <c r="E15" s="22">
        <v>0</v>
      </c>
      <c r="F15" s="22">
        <v>0</v>
      </c>
      <c r="G15" s="22">
        <v>0</v>
      </c>
      <c r="H15" s="21">
        <v>0</v>
      </c>
      <c r="I15" s="21"/>
      <c r="J15" s="21">
        <v>0</v>
      </c>
      <c r="K15" s="21">
        <v>0</v>
      </c>
      <c r="L15" s="22">
        <f t="shared" si="0"/>
        <v>0</v>
      </c>
    </row>
    <row r="16" spans="1:12" x14ac:dyDescent="0.25">
      <c r="A16" t="s">
        <v>928</v>
      </c>
      <c r="B16" t="s">
        <v>400</v>
      </c>
      <c r="C16" s="22">
        <v>11110</v>
      </c>
      <c r="D16" s="22">
        <v>3756</v>
      </c>
      <c r="E16" s="22">
        <v>0</v>
      </c>
      <c r="F16" s="22">
        <v>0</v>
      </c>
      <c r="G16" s="22">
        <v>0</v>
      </c>
      <c r="H16" s="21">
        <v>0</v>
      </c>
      <c r="I16" s="21"/>
      <c r="J16" s="21">
        <v>0</v>
      </c>
      <c r="K16" s="21">
        <v>0</v>
      </c>
      <c r="L16" s="22">
        <f t="shared" si="0"/>
        <v>0</v>
      </c>
    </row>
    <row r="17" spans="1:12" x14ac:dyDescent="0.25">
      <c r="A17" t="s">
        <v>929</v>
      </c>
      <c r="B17" t="s">
        <v>930</v>
      </c>
      <c r="C17" s="22">
        <v>11226</v>
      </c>
      <c r="D17" s="22">
        <v>1535</v>
      </c>
      <c r="E17" s="22">
        <v>0</v>
      </c>
      <c r="F17" s="22">
        <v>0</v>
      </c>
      <c r="G17" s="22">
        <v>0</v>
      </c>
      <c r="H17" s="21">
        <v>0</v>
      </c>
      <c r="I17" s="21"/>
      <c r="J17" s="21">
        <v>0</v>
      </c>
      <c r="K17" s="21">
        <v>0</v>
      </c>
      <c r="L17" s="22">
        <f t="shared" si="0"/>
        <v>0</v>
      </c>
    </row>
    <row r="18" spans="1:12" x14ac:dyDescent="0.25">
      <c r="A18" t="s">
        <v>931</v>
      </c>
      <c r="B18" t="s">
        <v>404</v>
      </c>
      <c r="C18" s="22">
        <v>664</v>
      </c>
      <c r="D18" s="22">
        <v>115</v>
      </c>
      <c r="E18" s="22">
        <v>0</v>
      </c>
      <c r="F18" s="22">
        <v>0</v>
      </c>
      <c r="G18" s="22">
        <v>0</v>
      </c>
      <c r="H18" s="21">
        <v>0</v>
      </c>
      <c r="I18" s="21"/>
      <c r="J18" s="21">
        <v>0</v>
      </c>
      <c r="K18" s="21">
        <v>0</v>
      </c>
      <c r="L18" s="22">
        <f t="shared" si="0"/>
        <v>0</v>
      </c>
    </row>
    <row r="19" spans="1:12" x14ac:dyDescent="0.25">
      <c r="A19" t="s">
        <v>932</v>
      </c>
      <c r="B19" t="s">
        <v>406</v>
      </c>
      <c r="C19" s="22">
        <v>0</v>
      </c>
      <c r="D19" s="22">
        <v>3164</v>
      </c>
      <c r="E19" s="22">
        <v>0</v>
      </c>
      <c r="F19" s="22">
        <v>0</v>
      </c>
      <c r="G19" s="22">
        <v>0</v>
      </c>
      <c r="H19" s="21">
        <v>0</v>
      </c>
      <c r="I19" s="21"/>
      <c r="J19" s="21">
        <v>0</v>
      </c>
      <c r="K19" s="21">
        <v>0</v>
      </c>
      <c r="L19" s="22">
        <f t="shared" si="0"/>
        <v>0</v>
      </c>
    </row>
    <row r="20" spans="1:12" x14ac:dyDescent="0.25">
      <c r="A20" t="s">
        <v>933</v>
      </c>
      <c r="B20" t="s">
        <v>934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1">
        <v>0</v>
      </c>
      <c r="I20" s="21"/>
      <c r="J20" s="21">
        <v>0</v>
      </c>
      <c r="K20" s="21">
        <v>0</v>
      </c>
      <c r="L20" s="22">
        <f t="shared" si="0"/>
        <v>0</v>
      </c>
    </row>
    <row r="21" spans="1:12" x14ac:dyDescent="0.25">
      <c r="A21" t="s">
        <v>935</v>
      </c>
      <c r="B21" t="s">
        <v>936</v>
      </c>
      <c r="C21" s="22">
        <v>128437</v>
      </c>
      <c r="D21" s="22">
        <v>44857</v>
      </c>
      <c r="E21" s="22">
        <v>0</v>
      </c>
      <c r="F21" s="22">
        <v>0</v>
      </c>
      <c r="G21" s="22">
        <v>0</v>
      </c>
      <c r="H21" s="21">
        <v>0</v>
      </c>
      <c r="I21" s="21"/>
      <c r="J21" s="21">
        <v>0</v>
      </c>
      <c r="K21" s="21">
        <v>0</v>
      </c>
      <c r="L21" s="22">
        <f t="shared" si="0"/>
        <v>0</v>
      </c>
    </row>
    <row r="22" spans="1:12" x14ac:dyDescent="0.25">
      <c r="A22" t="s">
        <v>937</v>
      </c>
      <c r="B22" t="s">
        <v>938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1">
        <v>0</v>
      </c>
      <c r="I22" s="21"/>
      <c r="J22" s="21">
        <v>0</v>
      </c>
      <c r="K22" s="21">
        <v>0</v>
      </c>
      <c r="L22" s="22">
        <f t="shared" si="0"/>
        <v>0</v>
      </c>
    </row>
    <row r="23" spans="1:12" x14ac:dyDescent="0.25">
      <c r="A23" t="s">
        <v>939</v>
      </c>
      <c r="B23" t="s">
        <v>418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1">
        <v>0</v>
      </c>
      <c r="I23" s="21"/>
      <c r="J23" s="21">
        <v>0</v>
      </c>
      <c r="K23" s="21">
        <v>0</v>
      </c>
      <c r="L23" s="22">
        <f t="shared" si="0"/>
        <v>0</v>
      </c>
    </row>
    <row r="24" spans="1:12" x14ac:dyDescent="0.25">
      <c r="A24" t="s">
        <v>940</v>
      </c>
      <c r="B24" t="s">
        <v>422</v>
      </c>
      <c r="C24" s="22">
        <v>6600</v>
      </c>
      <c r="D24" s="22">
        <v>1015</v>
      </c>
      <c r="E24" s="22">
        <v>0</v>
      </c>
      <c r="F24" s="22">
        <v>0</v>
      </c>
      <c r="G24" s="22">
        <v>0</v>
      </c>
      <c r="H24" s="21">
        <v>0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941</v>
      </c>
      <c r="B25" t="s">
        <v>424</v>
      </c>
      <c r="C25" s="22">
        <v>69</v>
      </c>
      <c r="D25" s="22">
        <v>0</v>
      </c>
      <c r="E25" s="22">
        <v>0</v>
      </c>
      <c r="F25" s="22">
        <v>0</v>
      </c>
      <c r="G25" s="22">
        <v>0</v>
      </c>
      <c r="H25" s="21">
        <v>0</v>
      </c>
      <c r="I25" s="21"/>
      <c r="J25" s="21">
        <v>0</v>
      </c>
      <c r="K25" s="21">
        <v>0</v>
      </c>
      <c r="L25" s="22">
        <f t="shared" si="0"/>
        <v>0</v>
      </c>
    </row>
    <row r="26" spans="1:12" x14ac:dyDescent="0.25">
      <c r="A26" t="s">
        <v>943</v>
      </c>
      <c r="B26" t="s">
        <v>426</v>
      </c>
      <c r="C26" s="22">
        <v>405</v>
      </c>
      <c r="D26" s="22">
        <v>0</v>
      </c>
      <c r="E26" s="22">
        <v>0</v>
      </c>
      <c r="F26" s="22">
        <v>0</v>
      </c>
      <c r="G26" s="22">
        <v>0</v>
      </c>
      <c r="H26" s="21">
        <v>0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944</v>
      </c>
      <c r="B27" t="s">
        <v>428</v>
      </c>
      <c r="C27" s="22">
        <v>0</v>
      </c>
      <c r="D27" s="22">
        <v>157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945</v>
      </c>
      <c r="B28" t="s">
        <v>430</v>
      </c>
      <c r="C28" s="22">
        <v>35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946</v>
      </c>
      <c r="B29" t="s">
        <v>434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1">
        <v>0</v>
      </c>
      <c r="I29" s="21"/>
      <c r="J29" s="21">
        <v>0</v>
      </c>
      <c r="K29" s="21">
        <v>0</v>
      </c>
      <c r="L29" s="22">
        <f t="shared" si="0"/>
        <v>0</v>
      </c>
    </row>
    <row r="30" spans="1:12" x14ac:dyDescent="0.25">
      <c r="A30" t="s">
        <v>947</v>
      </c>
      <c r="B30" t="s">
        <v>436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1">
        <v>0</v>
      </c>
      <c r="I30" s="21"/>
      <c r="J30" s="21">
        <v>0</v>
      </c>
      <c r="K30" s="21">
        <v>0</v>
      </c>
      <c r="L30" s="22">
        <f t="shared" si="0"/>
        <v>0</v>
      </c>
    </row>
    <row r="31" spans="1:12" x14ac:dyDescent="0.25">
      <c r="A31" t="s">
        <v>948</v>
      </c>
      <c r="B31" t="s">
        <v>607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1">
        <v>0</v>
      </c>
      <c r="I31" s="21"/>
      <c r="J31" s="21">
        <v>0</v>
      </c>
      <c r="K31" s="21">
        <v>0</v>
      </c>
      <c r="L31" s="22">
        <f t="shared" si="0"/>
        <v>0</v>
      </c>
    </row>
    <row r="32" spans="1:12" x14ac:dyDescent="0.25">
      <c r="C32" s="22"/>
      <c r="D32" s="22"/>
      <c r="E32" s="22"/>
      <c r="F32" s="22"/>
      <c r="G32" s="22"/>
      <c r="H32" s="22"/>
      <c r="I32" s="21"/>
      <c r="J32" s="22"/>
      <c r="K32" s="22"/>
      <c r="L32" s="22"/>
    </row>
    <row r="33" spans="1:12" x14ac:dyDescent="0.25">
      <c r="C33" s="22"/>
      <c r="D33" s="22"/>
      <c r="E33" s="22"/>
      <c r="F33" s="22"/>
      <c r="G33" s="22"/>
      <c r="H33" s="22"/>
      <c r="I33" s="21"/>
      <c r="J33" s="22"/>
      <c r="K33" s="22"/>
      <c r="L33" s="22"/>
    </row>
    <row r="34" spans="1:12" x14ac:dyDescent="0.25">
      <c r="A34" t="s">
        <v>109</v>
      </c>
      <c r="C34" s="22"/>
      <c r="D34" s="22"/>
      <c r="E34" s="22"/>
      <c r="F34" s="22"/>
      <c r="G34" s="22"/>
      <c r="H34" s="22"/>
      <c r="I34" s="21"/>
      <c r="J34" s="22"/>
      <c r="K34" s="22"/>
      <c r="L34" s="22"/>
    </row>
    <row r="35" spans="1:12" x14ac:dyDescent="0.25">
      <c r="B35" t="s">
        <v>441</v>
      </c>
      <c r="C35" s="22">
        <f t="shared" ref="C35:H35" si="1">SUM(C13:C31)</f>
        <v>170354</v>
      </c>
      <c r="D35" s="22">
        <f t="shared" si="1"/>
        <v>52156</v>
      </c>
      <c r="E35" s="22">
        <f t="shared" si="1"/>
        <v>0</v>
      </c>
      <c r="F35" s="22">
        <f t="shared" si="1"/>
        <v>0</v>
      </c>
      <c r="G35" s="22">
        <f t="shared" si="1"/>
        <v>0</v>
      </c>
      <c r="H35" s="22">
        <f t="shared" si="1"/>
        <v>0</v>
      </c>
      <c r="I35" s="21"/>
      <c r="J35" s="22">
        <f>SUM(J13:J31)</f>
        <v>0</v>
      </c>
      <c r="K35" s="22">
        <f>SUM(K13:K31)</f>
        <v>0</v>
      </c>
      <c r="L35" s="22">
        <f>SUM(L13:L31)</f>
        <v>0</v>
      </c>
    </row>
    <row r="36" spans="1:12" x14ac:dyDescent="0.25">
      <c r="C36" s="22"/>
      <c r="D36" s="22"/>
      <c r="E36" s="22"/>
      <c r="F36" s="22"/>
      <c r="G36" s="22"/>
      <c r="H36" s="22"/>
      <c r="I36" s="21"/>
      <c r="J36" s="22"/>
      <c r="K36" s="22"/>
      <c r="L36" s="22"/>
    </row>
    <row r="37" spans="1:12" x14ac:dyDescent="0.25">
      <c r="A37" t="s">
        <v>478</v>
      </c>
      <c r="C37" s="22"/>
      <c r="D37" s="22"/>
      <c r="E37" s="22"/>
      <c r="F37" s="22"/>
      <c r="G37" s="22"/>
      <c r="H37" s="22"/>
      <c r="I37" s="21"/>
      <c r="J37" s="22"/>
      <c r="K37" s="22"/>
      <c r="L37" s="22"/>
    </row>
    <row r="38" spans="1:12" x14ac:dyDescent="0.25">
      <c r="A38" t="s">
        <v>18</v>
      </c>
      <c r="B38" t="s">
        <v>21</v>
      </c>
      <c r="C38" s="22"/>
      <c r="D38" s="22"/>
      <c r="E38" s="22"/>
      <c r="F38" s="22"/>
      <c r="G38" s="22"/>
      <c r="H38" s="22"/>
      <c r="I38" s="21"/>
      <c r="J38" s="22"/>
      <c r="K38" s="22"/>
      <c r="L38" s="22"/>
    </row>
    <row r="39" spans="1:12" x14ac:dyDescent="0.25">
      <c r="A39" t="s">
        <v>949</v>
      </c>
      <c r="B39" t="s">
        <v>445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1">
        <v>0</v>
      </c>
      <c r="I39" s="21"/>
      <c r="J39" s="21">
        <v>0</v>
      </c>
      <c r="K39" s="21">
        <v>0</v>
      </c>
      <c r="L39" s="22">
        <f>SUM(J39+K39)</f>
        <v>0</v>
      </c>
    </row>
    <row r="40" spans="1:12" x14ac:dyDescent="0.25">
      <c r="A40" t="s">
        <v>950</v>
      </c>
      <c r="B40" t="s">
        <v>447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1">
        <v>0</v>
      </c>
      <c r="I40" s="21"/>
      <c r="J40" s="21">
        <v>0</v>
      </c>
      <c r="K40" s="21">
        <v>0</v>
      </c>
      <c r="L40" s="22">
        <f t="shared" ref="L40:L52" si="2">SUM(J40+K40)</f>
        <v>0</v>
      </c>
    </row>
    <row r="41" spans="1:12" x14ac:dyDescent="0.25">
      <c r="A41" t="s">
        <v>951</v>
      </c>
      <c r="B41" t="s">
        <v>449</v>
      </c>
      <c r="C41" s="22">
        <v>3481</v>
      </c>
      <c r="D41" s="22">
        <v>649</v>
      </c>
      <c r="E41" s="22">
        <v>0</v>
      </c>
      <c r="F41" s="22">
        <v>0</v>
      </c>
      <c r="G41" s="22">
        <v>0</v>
      </c>
      <c r="H41" s="21">
        <v>0</v>
      </c>
      <c r="I41" s="21"/>
      <c r="J41" s="21">
        <v>0</v>
      </c>
      <c r="K41" s="21">
        <v>0</v>
      </c>
      <c r="L41" s="22">
        <f t="shared" si="2"/>
        <v>0</v>
      </c>
    </row>
    <row r="42" spans="1:12" x14ac:dyDescent="0.25">
      <c r="A42" t="s">
        <v>952</v>
      </c>
      <c r="B42" t="s">
        <v>451</v>
      </c>
      <c r="C42" s="22">
        <v>1089</v>
      </c>
      <c r="D42" s="22">
        <v>0</v>
      </c>
      <c r="E42" s="22">
        <v>0</v>
      </c>
      <c r="F42" s="22">
        <v>0</v>
      </c>
      <c r="G42" s="22">
        <v>0</v>
      </c>
      <c r="H42" s="21">
        <v>0</v>
      </c>
      <c r="I42" s="21"/>
      <c r="J42" s="21">
        <v>0</v>
      </c>
      <c r="K42" s="21">
        <v>0</v>
      </c>
      <c r="L42" s="22">
        <f t="shared" si="2"/>
        <v>0</v>
      </c>
    </row>
    <row r="43" spans="1:12" x14ac:dyDescent="0.25">
      <c r="A43" t="s">
        <v>953</v>
      </c>
      <c r="B43" t="s">
        <v>453</v>
      </c>
      <c r="C43" s="22">
        <v>345</v>
      </c>
      <c r="D43" s="22">
        <v>0</v>
      </c>
      <c r="E43" s="22">
        <v>0</v>
      </c>
      <c r="F43" s="22">
        <v>0</v>
      </c>
      <c r="G43" s="22">
        <v>0</v>
      </c>
      <c r="H43" s="21">
        <v>0</v>
      </c>
      <c r="I43" s="21"/>
      <c r="J43" s="21">
        <v>0</v>
      </c>
      <c r="K43" s="21">
        <v>0</v>
      </c>
      <c r="L43" s="22">
        <f t="shared" si="2"/>
        <v>0</v>
      </c>
    </row>
    <row r="44" spans="1:12" x14ac:dyDescent="0.25">
      <c r="A44" t="s">
        <v>954</v>
      </c>
      <c r="B44" t="s">
        <v>457</v>
      </c>
      <c r="C44" s="22">
        <v>315</v>
      </c>
      <c r="D44" s="22">
        <v>70</v>
      </c>
      <c r="E44" s="22">
        <v>0</v>
      </c>
      <c r="F44" s="22">
        <v>0</v>
      </c>
      <c r="G44" s="22">
        <v>0</v>
      </c>
      <c r="H44" s="21">
        <v>0</v>
      </c>
      <c r="I44" s="21"/>
      <c r="J44" s="21">
        <v>0</v>
      </c>
      <c r="K44" s="21">
        <v>0</v>
      </c>
      <c r="L44" s="22">
        <f t="shared" si="2"/>
        <v>0</v>
      </c>
    </row>
    <row r="45" spans="1:12" x14ac:dyDescent="0.25">
      <c r="A45" t="s">
        <v>955</v>
      </c>
      <c r="B45" t="s">
        <v>459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1">
        <v>0</v>
      </c>
      <c r="I45" s="21"/>
      <c r="J45" s="21">
        <v>0</v>
      </c>
      <c r="K45" s="21">
        <v>0</v>
      </c>
      <c r="L45" s="22">
        <f t="shared" si="2"/>
        <v>0</v>
      </c>
    </row>
    <row r="46" spans="1:12" x14ac:dyDescent="0.25">
      <c r="A46" t="s">
        <v>956</v>
      </c>
      <c r="B46" t="s">
        <v>461</v>
      </c>
      <c r="C46" s="22">
        <v>197</v>
      </c>
      <c r="D46" s="22">
        <v>0</v>
      </c>
      <c r="E46" s="22">
        <v>0</v>
      </c>
      <c r="F46" s="22">
        <v>0</v>
      </c>
      <c r="G46" s="22">
        <v>0</v>
      </c>
      <c r="H46" s="21">
        <v>0</v>
      </c>
      <c r="I46" s="21"/>
      <c r="J46" s="21">
        <v>0</v>
      </c>
      <c r="K46" s="21">
        <v>0</v>
      </c>
      <c r="L46" s="22">
        <f t="shared" si="2"/>
        <v>0</v>
      </c>
    </row>
    <row r="47" spans="1:12" x14ac:dyDescent="0.25">
      <c r="A47" t="s">
        <v>957</v>
      </c>
      <c r="B47" t="s">
        <v>465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1">
        <v>0</v>
      </c>
      <c r="I47" s="21"/>
      <c r="J47" s="21">
        <v>0</v>
      </c>
      <c r="K47" s="21">
        <v>0</v>
      </c>
      <c r="L47" s="22">
        <f t="shared" si="2"/>
        <v>0</v>
      </c>
    </row>
    <row r="48" spans="1:12" x14ac:dyDescent="0.25">
      <c r="A48" t="s">
        <v>958</v>
      </c>
      <c r="B48" t="s">
        <v>959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1">
        <v>0</v>
      </c>
      <c r="I48" s="21"/>
      <c r="J48" s="21">
        <v>0</v>
      </c>
      <c r="K48" s="21">
        <v>0</v>
      </c>
      <c r="L48" s="22">
        <f t="shared" si="2"/>
        <v>0</v>
      </c>
    </row>
    <row r="49" spans="1:12" x14ac:dyDescent="0.25">
      <c r="A49" t="s">
        <v>960</v>
      </c>
      <c r="B49" t="s">
        <v>961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1">
        <v>0</v>
      </c>
      <c r="I49" s="21"/>
      <c r="J49" s="21">
        <v>0</v>
      </c>
      <c r="K49" s="21">
        <v>0</v>
      </c>
      <c r="L49" s="22">
        <f t="shared" si="2"/>
        <v>0</v>
      </c>
    </row>
    <row r="50" spans="1:12" x14ac:dyDescent="0.25">
      <c r="A50" t="s">
        <v>962</v>
      </c>
      <c r="B50" t="s">
        <v>473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1">
        <v>0</v>
      </c>
      <c r="I50" s="21"/>
      <c r="J50" s="21">
        <v>0</v>
      </c>
      <c r="K50" s="21">
        <v>0</v>
      </c>
      <c r="L50" s="22">
        <f t="shared" si="2"/>
        <v>0</v>
      </c>
    </row>
    <row r="51" spans="1:12" x14ac:dyDescent="0.25">
      <c r="A51" t="s">
        <v>963</v>
      </c>
      <c r="B51" t="s">
        <v>475</v>
      </c>
      <c r="C51" s="22">
        <v>108</v>
      </c>
      <c r="D51" s="22">
        <v>210</v>
      </c>
      <c r="E51" s="22">
        <v>40</v>
      </c>
      <c r="F51" s="22">
        <v>0</v>
      </c>
      <c r="G51" s="22">
        <v>0</v>
      </c>
      <c r="H51" s="21">
        <v>0</v>
      </c>
      <c r="I51" s="21"/>
      <c r="J51" s="21">
        <v>0</v>
      </c>
      <c r="K51" s="21">
        <v>0</v>
      </c>
      <c r="L51" s="22">
        <f t="shared" si="2"/>
        <v>0</v>
      </c>
    </row>
    <row r="52" spans="1:12" x14ac:dyDescent="0.25">
      <c r="A52" t="s">
        <v>964</v>
      </c>
      <c r="B52" t="s">
        <v>762</v>
      </c>
      <c r="C52" s="22">
        <v>14</v>
      </c>
      <c r="D52" s="22">
        <v>0</v>
      </c>
      <c r="E52" s="22">
        <v>0</v>
      </c>
      <c r="F52" s="22">
        <v>0</v>
      </c>
      <c r="G52" s="22">
        <v>0</v>
      </c>
      <c r="H52" s="21">
        <v>0</v>
      </c>
      <c r="I52" s="21"/>
      <c r="J52" s="21">
        <v>0</v>
      </c>
      <c r="K52" s="21">
        <v>0</v>
      </c>
      <c r="L52" s="22">
        <f t="shared" si="2"/>
        <v>0</v>
      </c>
    </row>
    <row r="53" spans="1:12" x14ac:dyDescent="0.25">
      <c r="C53" s="22"/>
      <c r="D53" s="22"/>
      <c r="E53" s="22"/>
      <c r="F53" s="22"/>
      <c r="G53" s="22"/>
      <c r="H53" s="22"/>
      <c r="I53" s="21"/>
      <c r="J53" s="22"/>
      <c r="K53" s="22"/>
      <c r="L53" s="22"/>
    </row>
    <row r="54" spans="1:12" x14ac:dyDescent="0.25">
      <c r="C54" s="22"/>
      <c r="D54" s="22"/>
      <c r="E54" s="22"/>
      <c r="F54" s="22"/>
      <c r="G54" s="22"/>
      <c r="H54" s="22"/>
      <c r="I54" s="21"/>
      <c r="J54" s="22"/>
      <c r="K54" s="22"/>
      <c r="L54" s="22"/>
    </row>
    <row r="55" spans="1:12" x14ac:dyDescent="0.25">
      <c r="A55" t="s">
        <v>109</v>
      </c>
      <c r="C55" s="22"/>
      <c r="D55" s="22"/>
      <c r="E55" s="22"/>
      <c r="F55" s="22"/>
      <c r="G55" s="22"/>
      <c r="H55" s="22"/>
      <c r="I55" s="21"/>
      <c r="J55" s="22"/>
      <c r="K55" s="22"/>
      <c r="L55" s="22"/>
    </row>
    <row r="56" spans="1:12" x14ac:dyDescent="0.25">
      <c r="B56" t="s">
        <v>478</v>
      </c>
      <c r="C56" s="22">
        <f t="shared" ref="C56:H56" si="3">SUM(C39:C52)</f>
        <v>5549</v>
      </c>
      <c r="D56" s="22">
        <f t="shared" si="3"/>
        <v>929</v>
      </c>
      <c r="E56" s="22">
        <f t="shared" si="3"/>
        <v>40</v>
      </c>
      <c r="F56" s="22">
        <f t="shared" si="3"/>
        <v>0</v>
      </c>
      <c r="G56" s="22">
        <f t="shared" si="3"/>
        <v>0</v>
      </c>
      <c r="H56" s="22">
        <f t="shared" si="3"/>
        <v>0</v>
      </c>
      <c r="I56" s="21"/>
      <c r="J56" s="22">
        <f>SUM(J39:J52)</f>
        <v>0</v>
      </c>
      <c r="K56" s="22">
        <f>SUM(K39:K52)</f>
        <v>0</v>
      </c>
      <c r="L56" s="22">
        <f>SUM(L39:L52)</f>
        <v>0</v>
      </c>
    </row>
    <row r="57" spans="1:12" x14ac:dyDescent="0.25">
      <c r="C57" s="22"/>
      <c r="D57" s="22"/>
      <c r="E57" s="22"/>
      <c r="F57" s="22"/>
      <c r="G57" s="22"/>
      <c r="H57" s="22"/>
      <c r="I57" s="21"/>
      <c r="J57" s="22"/>
      <c r="K57" s="22"/>
      <c r="L57" s="22"/>
    </row>
    <row r="58" spans="1:12" x14ac:dyDescent="0.25">
      <c r="A58" t="s">
        <v>489</v>
      </c>
      <c r="C58" s="22"/>
      <c r="D58" s="22"/>
      <c r="E58" s="22"/>
      <c r="F58" s="22"/>
      <c r="G58" s="22"/>
      <c r="H58" s="22"/>
      <c r="I58" s="21"/>
      <c r="J58" s="22"/>
      <c r="K58" s="22"/>
      <c r="L58" s="22"/>
    </row>
    <row r="59" spans="1:12" x14ac:dyDescent="0.25">
      <c r="A59" t="s">
        <v>18</v>
      </c>
      <c r="C59" s="22"/>
      <c r="D59" s="22"/>
      <c r="E59" s="22"/>
      <c r="F59" s="22"/>
      <c r="G59" s="22"/>
      <c r="H59" s="22"/>
      <c r="I59" s="21"/>
      <c r="J59" s="22"/>
      <c r="K59" s="22"/>
      <c r="L59" s="22"/>
    </row>
    <row r="60" spans="1:12" x14ac:dyDescent="0.25">
      <c r="A60" t="s">
        <v>965</v>
      </c>
      <c r="B60" t="s">
        <v>491</v>
      </c>
      <c r="C60" s="22">
        <v>6833</v>
      </c>
      <c r="D60" s="22">
        <v>0</v>
      </c>
      <c r="E60" s="22">
        <v>0</v>
      </c>
      <c r="F60" s="22">
        <v>0</v>
      </c>
      <c r="G60" s="22">
        <v>0</v>
      </c>
      <c r="H60" s="21">
        <v>0</v>
      </c>
      <c r="I60" s="21"/>
      <c r="J60" s="21">
        <v>0</v>
      </c>
      <c r="K60" s="21">
        <v>0</v>
      </c>
      <c r="L60" s="22">
        <f>SUM(J60+K60)</f>
        <v>0</v>
      </c>
    </row>
    <row r="61" spans="1:12" x14ac:dyDescent="0.25">
      <c r="A61" t="s">
        <v>966</v>
      </c>
      <c r="B61" t="s">
        <v>493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1">
        <v>0</v>
      </c>
      <c r="I61" s="21"/>
      <c r="J61" s="21">
        <v>0</v>
      </c>
      <c r="K61" s="21">
        <v>0</v>
      </c>
      <c r="L61" s="22">
        <f t="shared" ref="L61:L64" si="4">SUM(J61+K61)</f>
        <v>0</v>
      </c>
    </row>
    <row r="62" spans="1:12" x14ac:dyDescent="0.25">
      <c r="A62" t="s">
        <v>967</v>
      </c>
      <c r="B62" t="s">
        <v>489</v>
      </c>
      <c r="C62" s="22">
        <v>3401</v>
      </c>
      <c r="D62" s="22">
        <v>0</v>
      </c>
      <c r="E62" s="22">
        <v>0</v>
      </c>
      <c r="F62" s="22">
        <v>0</v>
      </c>
      <c r="G62" s="22">
        <v>0</v>
      </c>
      <c r="H62" s="21">
        <v>0</v>
      </c>
      <c r="I62" s="21"/>
      <c r="J62" s="21">
        <v>0</v>
      </c>
      <c r="K62" s="21">
        <v>0</v>
      </c>
      <c r="L62" s="22">
        <f t="shared" si="4"/>
        <v>0</v>
      </c>
    </row>
    <row r="63" spans="1:12" hidden="1" x14ac:dyDescent="0.25">
      <c r="A63" t="s">
        <v>968</v>
      </c>
      <c r="B63" t="s">
        <v>498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1">
        <v>0</v>
      </c>
      <c r="I63" s="21"/>
      <c r="J63" s="21">
        <v>0</v>
      </c>
      <c r="K63" s="21">
        <v>0</v>
      </c>
      <c r="L63" s="22">
        <f t="shared" si="4"/>
        <v>0</v>
      </c>
    </row>
    <row r="64" spans="1:12" hidden="1" x14ac:dyDescent="0.25">
      <c r="A64" t="s">
        <v>969</v>
      </c>
      <c r="B64" t="s">
        <v>500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1">
        <v>0</v>
      </c>
      <c r="I64" s="21"/>
      <c r="J64" s="21">
        <v>0</v>
      </c>
      <c r="K64" s="21">
        <v>0</v>
      </c>
      <c r="L64" s="22">
        <f t="shared" si="4"/>
        <v>0</v>
      </c>
    </row>
    <row r="65" spans="1:12" x14ac:dyDescent="0.25">
      <c r="C65" s="22"/>
      <c r="D65" s="22"/>
      <c r="E65" s="22"/>
      <c r="F65" s="22"/>
      <c r="G65" s="22"/>
      <c r="H65" s="22"/>
      <c r="I65" s="21"/>
      <c r="J65" s="22"/>
      <c r="K65" s="22"/>
      <c r="L65" s="22"/>
    </row>
    <row r="66" spans="1:12" x14ac:dyDescent="0.25">
      <c r="C66" s="22"/>
      <c r="D66" s="22"/>
      <c r="E66" s="22"/>
      <c r="F66" s="22"/>
      <c r="G66" s="22"/>
      <c r="H66" s="22"/>
      <c r="I66" s="21"/>
      <c r="J66" s="22"/>
      <c r="K66" s="22"/>
      <c r="L66" s="22"/>
    </row>
    <row r="67" spans="1:12" x14ac:dyDescent="0.25">
      <c r="A67" t="s">
        <v>109</v>
      </c>
      <c r="C67" s="22"/>
      <c r="D67" s="22"/>
      <c r="E67" s="22"/>
      <c r="F67" s="22"/>
      <c r="G67" s="22"/>
      <c r="H67" s="22"/>
      <c r="I67" s="21"/>
      <c r="J67" s="22"/>
      <c r="K67" s="22"/>
      <c r="L67" s="22"/>
    </row>
    <row r="68" spans="1:12" x14ac:dyDescent="0.25">
      <c r="B68" t="s">
        <v>489</v>
      </c>
      <c r="C68" s="22">
        <f t="shared" ref="C68:H68" si="5">SUM(C60:C64)</f>
        <v>10234</v>
      </c>
      <c r="D68" s="22">
        <f t="shared" si="5"/>
        <v>0</v>
      </c>
      <c r="E68" s="22">
        <f t="shared" si="5"/>
        <v>0</v>
      </c>
      <c r="F68" s="22">
        <f t="shared" si="5"/>
        <v>0</v>
      </c>
      <c r="G68" s="22">
        <f t="shared" si="5"/>
        <v>0</v>
      </c>
      <c r="H68" s="22">
        <f t="shared" si="5"/>
        <v>0</v>
      </c>
      <c r="I68" s="21"/>
      <c r="J68" s="22">
        <f>SUM(J60:J64)</f>
        <v>0</v>
      </c>
      <c r="K68" s="22">
        <f>SUM(K60:K64)</f>
        <v>0</v>
      </c>
      <c r="L68" s="22">
        <f>SUM(L60:L64)</f>
        <v>0</v>
      </c>
    </row>
    <row r="69" spans="1:12" x14ac:dyDescent="0.25">
      <c r="C69" s="22"/>
      <c r="D69" s="22"/>
      <c r="E69" s="22"/>
      <c r="F69" s="22"/>
      <c r="G69" s="22"/>
      <c r="H69" s="22"/>
      <c r="I69" s="21"/>
      <c r="J69" s="22"/>
      <c r="K69" s="22"/>
      <c r="L69" s="22"/>
    </row>
    <row r="70" spans="1:12" x14ac:dyDescent="0.25">
      <c r="A70" t="s">
        <v>501</v>
      </c>
      <c r="C70" s="22"/>
      <c r="D70" s="22"/>
      <c r="E70" s="22"/>
      <c r="F70" s="22"/>
      <c r="G70" s="22"/>
      <c r="H70" s="22"/>
      <c r="I70" s="21"/>
      <c r="J70" s="22"/>
      <c r="K70" s="22"/>
      <c r="L70" s="22"/>
    </row>
    <row r="71" spans="1:12" x14ac:dyDescent="0.25">
      <c r="A71" t="s">
        <v>18</v>
      </c>
      <c r="C71" s="22"/>
      <c r="D71" s="22"/>
      <c r="E71" s="22"/>
      <c r="F71" s="22"/>
      <c r="G71" s="22"/>
      <c r="H71" s="22"/>
      <c r="I71" s="21"/>
      <c r="J71" s="22"/>
      <c r="K71" s="22"/>
      <c r="L71" s="22"/>
    </row>
    <row r="72" spans="1:12" x14ac:dyDescent="0.25">
      <c r="A72" t="s">
        <v>970</v>
      </c>
      <c r="B72" t="s">
        <v>503</v>
      </c>
      <c r="C72" s="22">
        <v>1</v>
      </c>
      <c r="D72" s="22">
        <v>0</v>
      </c>
      <c r="E72" s="22">
        <v>0</v>
      </c>
      <c r="F72" s="22">
        <v>0</v>
      </c>
      <c r="G72" s="22">
        <v>0</v>
      </c>
      <c r="H72" s="21">
        <v>0</v>
      </c>
      <c r="I72" s="21"/>
      <c r="J72" s="21">
        <v>0</v>
      </c>
      <c r="K72" s="21">
        <v>0</v>
      </c>
      <c r="L72" s="22">
        <f>SUM(J72+K72)</f>
        <v>0</v>
      </c>
    </row>
    <row r="73" spans="1:12" x14ac:dyDescent="0.25">
      <c r="A73" t="s">
        <v>971</v>
      </c>
      <c r="B73" t="s">
        <v>507</v>
      </c>
      <c r="C73" s="22">
        <v>27383</v>
      </c>
      <c r="D73" s="22">
        <v>369532</v>
      </c>
      <c r="E73" s="22">
        <v>468390</v>
      </c>
      <c r="F73" s="22">
        <v>405000</v>
      </c>
      <c r="G73" s="22">
        <v>328524.51</v>
      </c>
      <c r="H73" s="21">
        <v>405000</v>
      </c>
      <c r="I73" s="21"/>
      <c r="J73" s="21">
        <v>450000</v>
      </c>
      <c r="K73" s="21">
        <v>0</v>
      </c>
      <c r="L73" s="22">
        <f t="shared" ref="L73:L78" si="6">SUM(J73+K73)</f>
        <v>450000</v>
      </c>
    </row>
    <row r="74" spans="1:12" x14ac:dyDescent="0.25">
      <c r="A74" t="s">
        <v>972</v>
      </c>
      <c r="B74" t="s">
        <v>973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1">
        <v>0</v>
      </c>
      <c r="I74" s="21"/>
      <c r="J74" s="21">
        <v>0</v>
      </c>
      <c r="K74" s="21">
        <v>0</v>
      </c>
      <c r="L74" s="22">
        <f t="shared" si="6"/>
        <v>0</v>
      </c>
    </row>
    <row r="75" spans="1:12" x14ac:dyDescent="0.25">
      <c r="A75" t="s">
        <v>974</v>
      </c>
      <c r="B75" t="s">
        <v>517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1">
        <v>0</v>
      </c>
      <c r="I75" s="21"/>
      <c r="J75" s="21">
        <v>0</v>
      </c>
      <c r="K75" s="21">
        <v>0</v>
      </c>
      <c r="L75" s="22">
        <f t="shared" si="6"/>
        <v>0</v>
      </c>
    </row>
    <row r="76" spans="1:12" x14ac:dyDescent="0.25">
      <c r="A76" t="s">
        <v>975</v>
      </c>
      <c r="B76" t="s">
        <v>519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1">
        <v>0</v>
      </c>
      <c r="I76" s="21"/>
      <c r="J76" s="21">
        <v>0</v>
      </c>
      <c r="K76" s="21">
        <v>0</v>
      </c>
      <c r="L76" s="22">
        <f t="shared" si="6"/>
        <v>0</v>
      </c>
    </row>
    <row r="77" spans="1:12" x14ac:dyDescent="0.25">
      <c r="A77" t="s">
        <v>976</v>
      </c>
      <c r="B77" t="s">
        <v>521</v>
      </c>
      <c r="C77" s="22">
        <v>5980</v>
      </c>
      <c r="D77" s="22">
        <v>4651</v>
      </c>
      <c r="E77" s="22">
        <v>0</v>
      </c>
      <c r="F77" s="22">
        <v>0</v>
      </c>
      <c r="G77" s="22">
        <v>0</v>
      </c>
      <c r="H77" s="21">
        <v>0</v>
      </c>
      <c r="I77" s="21"/>
      <c r="J77" s="21">
        <v>0</v>
      </c>
      <c r="K77" s="21">
        <v>0</v>
      </c>
      <c r="L77" s="22">
        <f t="shared" si="6"/>
        <v>0</v>
      </c>
    </row>
    <row r="78" spans="1:12" x14ac:dyDescent="0.25">
      <c r="A78" t="s">
        <v>977</v>
      </c>
      <c r="B78" t="s">
        <v>978</v>
      </c>
      <c r="C78" s="22">
        <v>0</v>
      </c>
      <c r="D78" s="22">
        <v>0</v>
      </c>
      <c r="E78" s="22">
        <v>6000</v>
      </c>
      <c r="F78" s="22">
        <v>0</v>
      </c>
      <c r="G78" s="22">
        <v>0</v>
      </c>
      <c r="H78" s="21">
        <v>0</v>
      </c>
      <c r="I78" s="21"/>
      <c r="J78" s="21">
        <v>0</v>
      </c>
      <c r="K78" s="21">
        <v>0</v>
      </c>
      <c r="L78" s="22">
        <f t="shared" si="6"/>
        <v>0</v>
      </c>
    </row>
    <row r="79" spans="1:12" x14ac:dyDescent="0.25">
      <c r="C79" s="22"/>
      <c r="D79" s="22"/>
      <c r="E79" s="22"/>
      <c r="F79" s="22"/>
      <c r="G79" s="22"/>
      <c r="H79" s="22"/>
      <c r="I79" s="21"/>
      <c r="J79" s="22"/>
      <c r="K79" s="22"/>
      <c r="L79" s="22"/>
    </row>
    <row r="80" spans="1:12" x14ac:dyDescent="0.25">
      <c r="C80" s="22"/>
      <c r="D80" s="22"/>
      <c r="E80" s="22"/>
      <c r="F80" s="22"/>
      <c r="G80" s="22"/>
      <c r="H80" s="22"/>
      <c r="I80" s="21"/>
      <c r="J80" s="22"/>
      <c r="K80" s="22"/>
      <c r="L80" s="22"/>
    </row>
    <row r="81" spans="1:12" x14ac:dyDescent="0.25">
      <c r="A81" t="s">
        <v>109</v>
      </c>
      <c r="C81" s="22"/>
      <c r="D81" s="22"/>
      <c r="E81" s="22"/>
      <c r="F81" s="22"/>
      <c r="G81" s="22"/>
      <c r="H81" s="22"/>
      <c r="I81" s="21"/>
      <c r="J81" s="22"/>
      <c r="K81" s="22"/>
      <c r="L81" s="22"/>
    </row>
    <row r="82" spans="1:12" x14ac:dyDescent="0.25">
      <c r="B82" t="s">
        <v>501</v>
      </c>
      <c r="C82" s="22">
        <f t="shared" ref="C82:H82" si="7">SUM(C72:C78)</f>
        <v>33364</v>
      </c>
      <c r="D82" s="22">
        <f t="shared" si="7"/>
        <v>374183</v>
      </c>
      <c r="E82" s="22">
        <f t="shared" si="7"/>
        <v>474390</v>
      </c>
      <c r="F82" s="22">
        <f t="shared" si="7"/>
        <v>405000</v>
      </c>
      <c r="G82" s="22">
        <f t="shared" si="7"/>
        <v>328524.51</v>
      </c>
      <c r="H82" s="22">
        <f t="shared" si="7"/>
        <v>405000</v>
      </c>
      <c r="I82" s="21"/>
      <c r="J82" s="22">
        <f>SUM(J72:J78)</f>
        <v>450000</v>
      </c>
      <c r="K82" s="22">
        <f>SUM(K72:K78)</f>
        <v>0</v>
      </c>
      <c r="L82" s="22">
        <f>SUM(L72:L78)</f>
        <v>450000</v>
      </c>
    </row>
    <row r="83" spans="1:12" x14ac:dyDescent="0.25">
      <c r="C83" s="22"/>
      <c r="D83" s="22"/>
      <c r="E83" s="22"/>
      <c r="F83" s="22"/>
      <c r="G83" s="22"/>
      <c r="H83" s="22"/>
      <c r="I83" s="21"/>
      <c r="J83" s="22"/>
      <c r="K83" s="22"/>
      <c r="L83" s="22"/>
    </row>
    <row r="84" spans="1:12" x14ac:dyDescent="0.25">
      <c r="A84" t="s">
        <v>530</v>
      </c>
      <c r="C84" s="22"/>
      <c r="D84" s="22"/>
      <c r="E84" s="22"/>
      <c r="F84" s="22"/>
      <c r="G84" s="22"/>
      <c r="H84" s="22"/>
      <c r="I84" s="21"/>
      <c r="J84" s="22"/>
      <c r="K84" s="22"/>
      <c r="L84" s="22"/>
    </row>
    <row r="85" spans="1:12" x14ac:dyDescent="0.25">
      <c r="A85" t="s">
        <v>18</v>
      </c>
      <c r="B85" t="s">
        <v>526</v>
      </c>
      <c r="C85" s="22"/>
      <c r="D85" s="22"/>
      <c r="E85" s="22"/>
      <c r="F85" s="22"/>
      <c r="G85" s="22"/>
      <c r="H85" s="22"/>
      <c r="I85" s="21"/>
      <c r="J85" s="22"/>
      <c r="K85" s="22"/>
      <c r="L85" s="22"/>
    </row>
    <row r="86" spans="1:12" x14ac:dyDescent="0.25">
      <c r="A86" t="s">
        <v>979</v>
      </c>
      <c r="B86" t="s">
        <v>530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1">
        <v>0</v>
      </c>
      <c r="I86" s="21"/>
      <c r="J86" s="21">
        <v>0</v>
      </c>
      <c r="K86" s="21">
        <v>0</v>
      </c>
      <c r="L86" s="22">
        <f>SUM(J86+K86)</f>
        <v>0</v>
      </c>
    </row>
    <row r="87" spans="1:12" x14ac:dyDescent="0.25">
      <c r="A87" t="s">
        <v>980</v>
      </c>
      <c r="B87" t="s">
        <v>534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1">
        <v>0</v>
      </c>
      <c r="I87" s="21"/>
      <c r="J87" s="21">
        <v>0</v>
      </c>
      <c r="K87" s="21">
        <v>0</v>
      </c>
      <c r="L87" s="22">
        <f>SUM(J87+K87)</f>
        <v>0</v>
      </c>
    </row>
    <row r="88" spans="1:12" x14ac:dyDescent="0.25">
      <c r="C88" s="22"/>
      <c r="D88" s="22"/>
      <c r="E88" s="22"/>
      <c r="F88" s="22"/>
      <c r="G88" s="22"/>
      <c r="H88" s="22"/>
      <c r="I88" s="21"/>
      <c r="J88" s="22"/>
      <c r="K88" s="22"/>
      <c r="L88" s="22"/>
    </row>
    <row r="89" spans="1:12" x14ac:dyDescent="0.25">
      <c r="C89" s="22"/>
      <c r="D89" s="22"/>
      <c r="E89" s="22"/>
      <c r="F89" s="22"/>
      <c r="G89" s="22"/>
      <c r="H89" s="22"/>
      <c r="I89" s="21"/>
      <c r="J89" s="22"/>
      <c r="K89" s="22"/>
      <c r="L89" s="22"/>
    </row>
    <row r="90" spans="1:12" x14ac:dyDescent="0.25">
      <c r="A90" t="s">
        <v>109</v>
      </c>
      <c r="C90" s="22"/>
      <c r="D90" s="22"/>
      <c r="E90" s="22"/>
      <c r="F90" s="22"/>
      <c r="G90" s="22"/>
      <c r="H90" s="22"/>
      <c r="I90" s="21"/>
      <c r="J90" s="22"/>
      <c r="K90" s="22"/>
      <c r="L90" s="22"/>
    </row>
    <row r="91" spans="1:12" x14ac:dyDescent="0.25">
      <c r="B91" t="s">
        <v>530</v>
      </c>
      <c r="C91" s="22">
        <f t="shared" ref="C91:H91" si="8">SUM(C86:C87)</f>
        <v>0</v>
      </c>
      <c r="D91" s="22">
        <f t="shared" si="8"/>
        <v>0</v>
      </c>
      <c r="E91" s="22">
        <f t="shared" si="8"/>
        <v>0</v>
      </c>
      <c r="F91" s="22">
        <f t="shared" si="8"/>
        <v>0</v>
      </c>
      <c r="G91" s="22">
        <f t="shared" si="8"/>
        <v>0</v>
      </c>
      <c r="H91" s="22">
        <f t="shared" si="8"/>
        <v>0</v>
      </c>
      <c r="I91" s="21"/>
      <c r="J91" s="22">
        <f>SUM(J86:J87)</f>
        <v>0</v>
      </c>
      <c r="K91" s="22">
        <f>SUM(K86:K87)</f>
        <v>0</v>
      </c>
      <c r="L91" s="22">
        <f>SUM(L86:L87)</f>
        <v>0</v>
      </c>
    </row>
    <row r="92" spans="1:12" x14ac:dyDescent="0.25">
      <c r="C92" s="22"/>
      <c r="D92" s="22"/>
      <c r="E92" s="22"/>
      <c r="F92" s="22"/>
      <c r="G92" s="22"/>
      <c r="H92" s="22"/>
      <c r="I92" s="21"/>
      <c r="J92" s="22"/>
      <c r="K92" s="22"/>
      <c r="L92" s="22"/>
    </row>
    <row r="93" spans="1:12" x14ac:dyDescent="0.25">
      <c r="C93" s="22"/>
      <c r="D93" s="22"/>
      <c r="E93" s="22"/>
      <c r="F93" s="22"/>
      <c r="G93" s="22"/>
      <c r="H93" s="22"/>
      <c r="I93" s="21"/>
      <c r="J93" s="22"/>
      <c r="K93" s="22"/>
      <c r="L93" s="22"/>
    </row>
    <row r="94" spans="1:12" x14ac:dyDescent="0.25">
      <c r="A94" t="s">
        <v>109</v>
      </c>
      <c r="C94" s="22"/>
      <c r="D94" s="22"/>
      <c r="E94" s="22"/>
      <c r="F94" s="22"/>
      <c r="G94" s="22"/>
      <c r="H94" s="22"/>
      <c r="I94" s="21"/>
      <c r="J94" s="22"/>
      <c r="K94" s="22"/>
      <c r="L94" s="22"/>
    </row>
    <row r="95" spans="1:12" x14ac:dyDescent="0.25">
      <c r="A95">
        <v>18</v>
      </c>
      <c r="B95" t="s">
        <v>3594</v>
      </c>
      <c r="C95" s="22">
        <f t="shared" ref="C95:H95" si="9">C35+C56++C82+C91</f>
        <v>209267</v>
      </c>
      <c r="D95" s="22">
        <f t="shared" si="9"/>
        <v>427268</v>
      </c>
      <c r="E95" s="22">
        <f t="shared" si="9"/>
        <v>474430</v>
      </c>
      <c r="F95" s="22">
        <f t="shared" si="9"/>
        <v>405000</v>
      </c>
      <c r="G95" s="22">
        <f t="shared" si="9"/>
        <v>328524.51</v>
      </c>
      <c r="H95" s="22">
        <f t="shared" si="9"/>
        <v>405000</v>
      </c>
      <c r="I95" s="21"/>
      <c r="J95" s="22">
        <f>J35+J56++J82+J91</f>
        <v>450000</v>
      </c>
      <c r="K95" s="22">
        <f>K35+K56++K82+K91</f>
        <v>0</v>
      </c>
      <c r="L95" s="22">
        <f>L35+L56++L82+L91</f>
        <v>450000</v>
      </c>
    </row>
    <row r="96" spans="1:12" x14ac:dyDescent="0.25">
      <c r="A96" t="s">
        <v>110</v>
      </c>
      <c r="C96" s="25"/>
      <c r="D96" s="25"/>
      <c r="E96" s="25"/>
      <c r="F96" s="25"/>
      <c r="G96" s="25"/>
      <c r="H96" s="25"/>
      <c r="I96" s="26"/>
      <c r="J96" s="25"/>
      <c r="K96" s="25"/>
      <c r="L96" s="25"/>
    </row>
    <row r="97" spans="3:12" x14ac:dyDescent="0.25">
      <c r="C97" s="25"/>
      <c r="D97" s="25"/>
      <c r="E97" s="25"/>
      <c r="F97" s="25"/>
      <c r="G97" s="25"/>
      <c r="H97" s="25"/>
      <c r="I97" s="26"/>
      <c r="J97" s="25"/>
      <c r="K97" s="25"/>
      <c r="L97" s="25"/>
    </row>
  </sheetData>
  <sheetProtection algorithmName="SHA-512" hashValue="SjlRqFRX/ZsrkMfjL5f92+IqqU4Js1r6qq29Clw0SLxqrY/KvgN03ht4iEUFv2Cc41W0oAVp7CLx2gKTjP6gvg==" saltValue="kmMAuc55S63lxriQ2CrAiQ==" spinCount="100000" sheet="1" objects="1" scenarios="1" insertRows="0"/>
  <pageMargins left="0.25" right="0.25" top="0.75" bottom="0.75" header="0.3" footer="0.3"/>
  <pageSetup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29C1F-3B0E-4EE9-8952-6F46AEB3E198}">
  <sheetPr>
    <pageSetUpPr fitToPage="1"/>
  </sheetPr>
  <dimension ref="A1:L170"/>
  <sheetViews>
    <sheetView zoomScaleNormal="100" workbookViewId="0">
      <pane ySplit="8" topLeftCell="A9" activePane="bottomLeft" state="frozen"/>
      <selection pane="bottomLeft" activeCell="H152" sqref="H152"/>
    </sheetView>
  </sheetViews>
  <sheetFormatPr defaultRowHeight="15" x14ac:dyDescent="0.25"/>
  <cols>
    <col min="2" max="2" width="33.5703125" style="7" bestFit="1" customWidth="1"/>
    <col min="3" max="3" width="14.28515625" style="12" bestFit="1" customWidth="1"/>
    <col min="4" max="4" width="15" style="12" bestFit="1" customWidth="1"/>
    <col min="5" max="7" width="14.28515625" style="12" bestFit="1" customWidth="1"/>
    <col min="8" max="8" width="14.5703125" style="11" bestFit="1" customWidth="1"/>
    <col min="9" max="9" width="10.7109375" style="12" customWidth="1"/>
    <col min="10" max="10" width="14.28515625" style="11" bestFit="1" customWidth="1"/>
    <col min="11" max="11" width="14.7109375" style="11" bestFit="1" customWidth="1"/>
    <col min="12" max="12" width="14.140625" style="12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4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4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294</v>
      </c>
    </row>
    <row r="11" spans="1:12" x14ac:dyDescent="0.25">
      <c r="A11" t="s">
        <v>441</v>
      </c>
    </row>
    <row r="12" spans="1:12" x14ac:dyDescent="0.25">
      <c r="A12" t="s">
        <v>18</v>
      </c>
      <c r="B12" s="7" t="s">
        <v>228</v>
      </c>
      <c r="C12" s="22"/>
      <c r="D12" s="22"/>
      <c r="E12" s="22"/>
      <c r="F12" s="22"/>
      <c r="G12" s="22"/>
      <c r="H12" s="21"/>
      <c r="I12" s="22"/>
      <c r="J12" s="21"/>
      <c r="K12" s="21"/>
      <c r="L12" s="22"/>
    </row>
    <row r="13" spans="1:12" x14ac:dyDescent="0.25">
      <c r="A13" t="s">
        <v>983</v>
      </c>
      <c r="B13" s="7" t="s">
        <v>569</v>
      </c>
      <c r="C13" s="22">
        <v>4616</v>
      </c>
      <c r="D13" s="22">
        <v>29256</v>
      </c>
      <c r="E13" s="22">
        <v>0</v>
      </c>
      <c r="F13" s="22">
        <v>0</v>
      </c>
      <c r="G13" s="22">
        <v>0</v>
      </c>
      <c r="H13" s="21">
        <v>0</v>
      </c>
      <c r="I13" s="22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984</v>
      </c>
      <c r="B14" s="7" t="s">
        <v>396</v>
      </c>
      <c r="C14" s="22">
        <v>263</v>
      </c>
      <c r="D14" s="22">
        <v>234</v>
      </c>
      <c r="E14" s="22">
        <v>3097</v>
      </c>
      <c r="F14" s="22">
        <v>6048</v>
      </c>
      <c r="G14" s="22">
        <v>2001.22</v>
      </c>
      <c r="H14" s="21">
        <v>2001</v>
      </c>
      <c r="I14" s="22"/>
      <c r="J14" s="21">
        <v>1512</v>
      </c>
      <c r="K14" s="21">
        <v>0</v>
      </c>
      <c r="L14" s="22">
        <f t="shared" ref="L14:L44" si="0">SUM(J14+K14)</f>
        <v>1512</v>
      </c>
    </row>
    <row r="15" spans="1:12" x14ac:dyDescent="0.25">
      <c r="A15" t="s">
        <v>985</v>
      </c>
      <c r="B15" s="7" t="s">
        <v>398</v>
      </c>
      <c r="C15" s="22">
        <v>98437</v>
      </c>
      <c r="D15" s="22">
        <v>120829</v>
      </c>
      <c r="E15" s="22">
        <v>139265</v>
      </c>
      <c r="F15" s="22">
        <v>148824</v>
      </c>
      <c r="G15" s="22">
        <v>129435.12</v>
      </c>
      <c r="H15" s="21">
        <v>145650</v>
      </c>
      <c r="I15" s="22"/>
      <c r="J15" s="21">
        <v>150285.9</v>
      </c>
      <c r="K15" s="21">
        <v>0</v>
      </c>
      <c r="L15" s="22">
        <f t="shared" si="0"/>
        <v>150285.9</v>
      </c>
    </row>
    <row r="16" spans="1:12" x14ac:dyDescent="0.25">
      <c r="A16" t="s">
        <v>986</v>
      </c>
      <c r="B16" s="7" t="s">
        <v>400</v>
      </c>
      <c r="C16" s="22">
        <v>106934</v>
      </c>
      <c r="D16" s="22">
        <v>132899</v>
      </c>
      <c r="E16" s="22">
        <v>164332</v>
      </c>
      <c r="F16" s="22">
        <v>179733</v>
      </c>
      <c r="G16" s="22">
        <v>131526.76999999999</v>
      </c>
      <c r="H16" s="21">
        <v>151500</v>
      </c>
      <c r="I16" s="22"/>
      <c r="J16" s="21">
        <f>45938.87+134137.9</f>
        <v>180076.77</v>
      </c>
      <c r="K16" s="21">
        <v>0</v>
      </c>
      <c r="L16" s="22">
        <f t="shared" si="0"/>
        <v>180076.77</v>
      </c>
    </row>
    <row r="17" spans="1:12" x14ac:dyDescent="0.25">
      <c r="A17" t="s">
        <v>987</v>
      </c>
      <c r="B17" s="7" t="s">
        <v>574</v>
      </c>
      <c r="C17" s="22">
        <v>204232</v>
      </c>
      <c r="D17" s="22">
        <v>253851</v>
      </c>
      <c r="E17" s="22">
        <v>320690</v>
      </c>
      <c r="F17" s="22">
        <v>372208</v>
      </c>
      <c r="G17" s="22">
        <v>264508.56</v>
      </c>
      <c r="H17" s="21">
        <v>289500</v>
      </c>
      <c r="I17" s="22"/>
      <c r="J17" s="21">
        <v>315572.03999999998</v>
      </c>
      <c r="K17" s="21">
        <v>0</v>
      </c>
      <c r="L17" s="22">
        <f t="shared" si="0"/>
        <v>315572.03999999998</v>
      </c>
    </row>
    <row r="18" spans="1:12" x14ac:dyDescent="0.25">
      <c r="A18" t="s">
        <v>988</v>
      </c>
      <c r="B18" s="7" t="s">
        <v>404</v>
      </c>
      <c r="C18" s="22">
        <v>10008</v>
      </c>
      <c r="D18" s="22">
        <v>12913</v>
      </c>
      <c r="E18" s="22">
        <v>15396</v>
      </c>
      <c r="F18" s="22">
        <v>15696</v>
      </c>
      <c r="G18" s="22">
        <v>11936.62</v>
      </c>
      <c r="H18" s="21">
        <v>15696</v>
      </c>
      <c r="I18" s="22"/>
      <c r="J18" s="21">
        <v>17280</v>
      </c>
      <c r="K18" s="21">
        <v>0</v>
      </c>
      <c r="L18" s="22">
        <f t="shared" si="0"/>
        <v>17280</v>
      </c>
    </row>
    <row r="19" spans="1:12" x14ac:dyDescent="0.25">
      <c r="A19" t="s">
        <v>989</v>
      </c>
      <c r="B19" s="7" t="s">
        <v>406</v>
      </c>
      <c r="C19" s="22">
        <v>21525</v>
      </c>
      <c r="D19" s="22">
        <v>24430</v>
      </c>
      <c r="E19" s="22">
        <v>46106</v>
      </c>
      <c r="F19" s="22">
        <v>50717</v>
      </c>
      <c r="G19" s="22">
        <v>47600.99</v>
      </c>
      <c r="H19" s="21">
        <v>47601</v>
      </c>
      <c r="I19" s="22"/>
      <c r="J19" s="21">
        <f>G19*10%+G19</f>
        <v>52361.089</v>
      </c>
      <c r="K19" s="21">
        <v>0</v>
      </c>
      <c r="L19" s="22">
        <f t="shared" si="0"/>
        <v>52361.089</v>
      </c>
    </row>
    <row r="20" spans="1:12" x14ac:dyDescent="0.25">
      <c r="A20" t="s">
        <v>990</v>
      </c>
      <c r="B20" s="7" t="s">
        <v>424</v>
      </c>
      <c r="C20" s="22">
        <v>6471</v>
      </c>
      <c r="D20" s="22">
        <v>4083</v>
      </c>
      <c r="E20" s="22">
        <v>4394</v>
      </c>
      <c r="F20" s="22">
        <v>4691</v>
      </c>
      <c r="G20" s="22">
        <v>3979.22</v>
      </c>
      <c r="H20" s="21">
        <v>3979</v>
      </c>
      <c r="I20" s="22"/>
      <c r="J20" s="21">
        <v>4602.07</v>
      </c>
      <c r="K20" s="21">
        <v>0</v>
      </c>
      <c r="L20" s="22">
        <f t="shared" si="0"/>
        <v>4602.07</v>
      </c>
    </row>
    <row r="21" spans="1:12" x14ac:dyDescent="0.25">
      <c r="A21" t="s">
        <v>991</v>
      </c>
      <c r="B21" s="7" t="s">
        <v>426</v>
      </c>
      <c r="C21" s="22">
        <v>6479</v>
      </c>
      <c r="D21" s="22">
        <v>5264</v>
      </c>
      <c r="E21" s="22">
        <v>8503</v>
      </c>
      <c r="F21" s="22">
        <v>9718</v>
      </c>
      <c r="G21" s="22">
        <v>7889.18</v>
      </c>
      <c r="H21" s="21">
        <v>7889</v>
      </c>
      <c r="I21" s="22"/>
      <c r="J21" s="21">
        <v>9717.84</v>
      </c>
      <c r="K21" s="21">
        <v>0</v>
      </c>
      <c r="L21" s="22">
        <f t="shared" si="0"/>
        <v>9717.84</v>
      </c>
    </row>
    <row r="22" spans="1:12" x14ac:dyDescent="0.25">
      <c r="A22" t="s">
        <v>992</v>
      </c>
      <c r="B22" s="7" t="s">
        <v>598</v>
      </c>
      <c r="C22" s="22">
        <v>13478</v>
      </c>
      <c r="D22" s="22">
        <v>15400</v>
      </c>
      <c r="E22" s="22">
        <v>21500</v>
      </c>
      <c r="F22" s="22">
        <v>25900</v>
      </c>
      <c r="G22" s="22">
        <v>14300</v>
      </c>
      <c r="H22" s="21">
        <v>14300</v>
      </c>
      <c r="I22" s="22"/>
      <c r="J22" s="21">
        <v>25900</v>
      </c>
      <c r="K22" s="21">
        <v>0</v>
      </c>
      <c r="L22" s="22">
        <f t="shared" si="0"/>
        <v>25900</v>
      </c>
    </row>
    <row r="23" spans="1:12" x14ac:dyDescent="0.25">
      <c r="A23" t="s">
        <v>993</v>
      </c>
      <c r="B23" s="7" t="s">
        <v>428</v>
      </c>
      <c r="C23" s="22">
        <v>46</v>
      </c>
      <c r="D23" s="22">
        <v>600</v>
      </c>
      <c r="E23" s="22">
        <v>646</v>
      </c>
      <c r="F23" s="22">
        <v>600</v>
      </c>
      <c r="G23" s="22">
        <v>530.84</v>
      </c>
      <c r="H23" s="21">
        <v>600</v>
      </c>
      <c r="I23" s="22"/>
      <c r="J23" s="21">
        <v>600</v>
      </c>
      <c r="K23" s="21">
        <v>0</v>
      </c>
      <c r="L23" s="22">
        <f t="shared" si="0"/>
        <v>600</v>
      </c>
    </row>
    <row r="24" spans="1:12" x14ac:dyDescent="0.25">
      <c r="A24" t="s">
        <v>994</v>
      </c>
      <c r="B24" s="7" t="s">
        <v>430</v>
      </c>
      <c r="C24" s="22">
        <v>692</v>
      </c>
      <c r="D24" s="22">
        <v>519</v>
      </c>
      <c r="E24" s="22">
        <v>727</v>
      </c>
      <c r="F24" s="22">
        <v>830</v>
      </c>
      <c r="G24" s="22">
        <v>761.2</v>
      </c>
      <c r="H24" s="21">
        <v>761</v>
      </c>
      <c r="I24" s="22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995</v>
      </c>
      <c r="B25" s="7" t="s">
        <v>996</v>
      </c>
      <c r="C25" s="22">
        <v>115647</v>
      </c>
      <c r="D25" s="22">
        <v>136250</v>
      </c>
      <c r="E25" s="22">
        <v>136500</v>
      </c>
      <c r="F25" s="22">
        <v>143325</v>
      </c>
      <c r="G25" s="22">
        <v>126262.5</v>
      </c>
      <c r="H25" s="21">
        <v>142762</v>
      </c>
      <c r="I25" s="22"/>
      <c r="J25" s="21">
        <v>143325</v>
      </c>
      <c r="K25" s="21">
        <v>0</v>
      </c>
      <c r="L25" s="22">
        <f t="shared" si="0"/>
        <v>143325</v>
      </c>
    </row>
    <row r="26" spans="1:12" x14ac:dyDescent="0.25">
      <c r="A26" t="s">
        <v>997</v>
      </c>
      <c r="B26" s="7" t="s">
        <v>998</v>
      </c>
      <c r="C26" s="22">
        <v>103996</v>
      </c>
      <c r="D26" s="22">
        <v>82384</v>
      </c>
      <c r="E26" s="22">
        <v>102000</v>
      </c>
      <c r="F26" s="22">
        <v>105100</v>
      </c>
      <c r="G26" s="22">
        <v>94349.759999999995</v>
      </c>
      <c r="H26" s="21">
        <v>105000</v>
      </c>
      <c r="I26" s="22"/>
      <c r="J26" s="21">
        <v>107099.72</v>
      </c>
      <c r="K26" s="21">
        <v>0</v>
      </c>
      <c r="L26" s="22">
        <f t="shared" si="0"/>
        <v>107099.72</v>
      </c>
    </row>
    <row r="27" spans="1:12" x14ac:dyDescent="0.25">
      <c r="A27" t="s">
        <v>999</v>
      </c>
      <c r="B27" s="7" t="s">
        <v>1000</v>
      </c>
      <c r="C27" s="22">
        <v>92323</v>
      </c>
      <c r="D27" s="22">
        <v>102370</v>
      </c>
      <c r="E27" s="22">
        <v>106241</v>
      </c>
      <c r="F27" s="22">
        <v>112687</v>
      </c>
      <c r="G27" s="22">
        <v>100651.28</v>
      </c>
      <c r="H27" s="21">
        <v>113250</v>
      </c>
      <c r="I27" s="22"/>
      <c r="J27" s="21">
        <v>112694.39999999999</v>
      </c>
      <c r="K27" s="21">
        <v>0</v>
      </c>
      <c r="L27" s="22">
        <f t="shared" si="0"/>
        <v>112694.39999999999</v>
      </c>
    </row>
    <row r="28" spans="1:12" x14ac:dyDescent="0.25">
      <c r="A28" t="s">
        <v>1001</v>
      </c>
      <c r="B28" s="7" t="s">
        <v>3595</v>
      </c>
      <c r="C28" s="22">
        <v>147896</v>
      </c>
      <c r="D28" s="22">
        <v>165661</v>
      </c>
      <c r="E28" s="22">
        <v>170748</v>
      </c>
      <c r="F28" s="22">
        <v>181900</v>
      </c>
      <c r="G28" s="22">
        <v>158104.67000000001</v>
      </c>
      <c r="H28" s="21">
        <v>178204</v>
      </c>
      <c r="I28" s="22"/>
      <c r="J28" s="21">
        <v>181898.6</v>
      </c>
      <c r="K28" s="21">
        <v>0</v>
      </c>
      <c r="L28" s="22">
        <f t="shared" si="0"/>
        <v>181898.6</v>
      </c>
    </row>
    <row r="29" spans="1:12" x14ac:dyDescent="0.25">
      <c r="A29" t="s">
        <v>1003</v>
      </c>
      <c r="B29" s="7" t="s">
        <v>3596</v>
      </c>
      <c r="C29" s="22">
        <v>195726</v>
      </c>
      <c r="D29" s="22">
        <v>233041</v>
      </c>
      <c r="E29" s="22">
        <v>323712</v>
      </c>
      <c r="F29" s="22">
        <v>340397</v>
      </c>
      <c r="G29" s="22">
        <v>239332.68</v>
      </c>
      <c r="H29" s="21">
        <v>280000</v>
      </c>
      <c r="I29" s="22"/>
      <c r="J29" s="21">
        <v>323898.02</v>
      </c>
      <c r="K29" s="21">
        <v>0</v>
      </c>
      <c r="L29" s="22">
        <f t="shared" si="0"/>
        <v>323898.02</v>
      </c>
    </row>
    <row r="30" spans="1:12" x14ac:dyDescent="0.25">
      <c r="A30" t="s">
        <v>1005</v>
      </c>
      <c r="B30" s="7" t="s">
        <v>1006</v>
      </c>
      <c r="C30" s="22">
        <v>485975</v>
      </c>
      <c r="D30" s="22">
        <v>725792</v>
      </c>
      <c r="E30" s="22">
        <v>723942</v>
      </c>
      <c r="F30" s="22">
        <v>777760</v>
      </c>
      <c r="G30" s="22">
        <v>676015.19</v>
      </c>
      <c r="H30" s="21">
        <v>755750</v>
      </c>
      <c r="I30" s="22"/>
      <c r="J30" s="21">
        <v>765335.87</v>
      </c>
      <c r="K30" s="24">
        <v>73351.38</v>
      </c>
      <c r="L30" s="22">
        <f t="shared" si="0"/>
        <v>838687.25</v>
      </c>
    </row>
    <row r="31" spans="1:12" x14ac:dyDescent="0.25">
      <c r="B31" s="7" t="s">
        <v>3597</v>
      </c>
      <c r="C31" s="22"/>
      <c r="D31" s="22"/>
      <c r="E31" s="22"/>
      <c r="F31" s="22"/>
      <c r="G31" s="22"/>
      <c r="H31" s="21"/>
      <c r="I31" s="24"/>
      <c r="J31" s="21"/>
      <c r="K31" s="24"/>
      <c r="L31" s="22"/>
    </row>
    <row r="32" spans="1:12" x14ac:dyDescent="0.25">
      <c r="A32" t="s">
        <v>1007</v>
      </c>
      <c r="B32" s="7" t="s">
        <v>1008</v>
      </c>
      <c r="C32" s="22">
        <v>0</v>
      </c>
      <c r="D32" s="22">
        <v>0</v>
      </c>
      <c r="E32" s="22">
        <v>45321</v>
      </c>
      <c r="F32" s="22">
        <v>130238</v>
      </c>
      <c r="G32" s="22">
        <v>114751.91</v>
      </c>
      <c r="H32" s="21">
        <v>131500</v>
      </c>
      <c r="I32" s="22"/>
      <c r="J32" s="21">
        <v>145152.17000000001</v>
      </c>
      <c r="K32" s="24">
        <v>73351.38</v>
      </c>
      <c r="L32" s="22">
        <f t="shared" si="0"/>
        <v>218503.55000000002</v>
      </c>
    </row>
    <row r="33" spans="1:12" x14ac:dyDescent="0.25">
      <c r="B33" s="7" t="s">
        <v>3598</v>
      </c>
      <c r="C33" s="22"/>
      <c r="D33" s="22"/>
      <c r="E33" s="22"/>
      <c r="F33" s="22"/>
      <c r="G33" s="22"/>
      <c r="H33" s="21"/>
      <c r="I33" s="24"/>
      <c r="J33" s="21"/>
      <c r="K33" s="24"/>
      <c r="L33" s="22"/>
    </row>
    <row r="34" spans="1:12" x14ac:dyDescent="0.25">
      <c r="A34" t="s">
        <v>1009</v>
      </c>
      <c r="B34" s="7" t="s">
        <v>592</v>
      </c>
      <c r="C34" s="22">
        <v>0</v>
      </c>
      <c r="D34" s="22">
        <v>0</v>
      </c>
      <c r="E34" s="22">
        <v>67108</v>
      </c>
      <c r="F34" s="22">
        <v>0</v>
      </c>
      <c r="G34" s="22">
        <v>8021.71</v>
      </c>
      <c r="H34" s="21">
        <v>8022</v>
      </c>
      <c r="I34" s="22"/>
      <c r="J34" s="21">
        <v>0</v>
      </c>
      <c r="K34" s="24">
        <v>0</v>
      </c>
      <c r="L34" s="22">
        <f t="shared" si="0"/>
        <v>0</v>
      </c>
    </row>
    <row r="35" spans="1:12" x14ac:dyDescent="0.25">
      <c r="A35" t="s">
        <v>1010</v>
      </c>
      <c r="B35" s="7" t="s">
        <v>1011</v>
      </c>
      <c r="C35" s="22">
        <v>60706</v>
      </c>
      <c r="D35" s="22">
        <v>30490</v>
      </c>
      <c r="E35" s="22">
        <v>56067</v>
      </c>
      <c r="F35" s="22">
        <v>58968</v>
      </c>
      <c r="G35" s="22">
        <v>53724.12</v>
      </c>
      <c r="H35" s="21">
        <v>53724</v>
      </c>
      <c r="I35" s="22"/>
      <c r="J35" s="21">
        <v>58968</v>
      </c>
      <c r="K35" s="24">
        <v>0</v>
      </c>
      <c r="L35" s="22">
        <f t="shared" si="0"/>
        <v>58968</v>
      </c>
    </row>
    <row r="36" spans="1:12" x14ac:dyDescent="0.25">
      <c r="A36" t="s">
        <v>1012</v>
      </c>
      <c r="B36" s="7" t="s">
        <v>1013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1">
        <v>0</v>
      </c>
      <c r="I36" s="22"/>
      <c r="J36" s="21">
        <v>0</v>
      </c>
      <c r="K36" s="24">
        <v>0</v>
      </c>
      <c r="L36" s="22">
        <f t="shared" si="0"/>
        <v>0</v>
      </c>
    </row>
    <row r="37" spans="1:12" x14ac:dyDescent="0.25">
      <c r="A37" t="s">
        <v>1014</v>
      </c>
      <c r="B37" s="7" t="s">
        <v>432</v>
      </c>
      <c r="C37" s="22">
        <v>85223</v>
      </c>
      <c r="D37" s="22">
        <v>108687</v>
      </c>
      <c r="E37" s="22">
        <v>83587</v>
      </c>
      <c r="F37" s="22">
        <v>60000</v>
      </c>
      <c r="G37" s="22">
        <v>76231.75</v>
      </c>
      <c r="H37" s="21">
        <v>79800</v>
      </c>
      <c r="I37" s="22"/>
      <c r="J37" s="21">
        <v>0</v>
      </c>
      <c r="K37" s="24">
        <v>0</v>
      </c>
      <c r="L37" s="22">
        <f t="shared" si="0"/>
        <v>0</v>
      </c>
    </row>
    <row r="38" spans="1:12" x14ac:dyDescent="0.25">
      <c r="A38" t="s">
        <v>1015</v>
      </c>
      <c r="B38" s="7" t="s">
        <v>434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1">
        <v>0</v>
      </c>
      <c r="I38" s="22"/>
      <c r="J38" s="21">
        <v>0</v>
      </c>
      <c r="K38" s="24">
        <v>0</v>
      </c>
      <c r="L38" s="22">
        <f t="shared" si="0"/>
        <v>0</v>
      </c>
    </row>
    <row r="39" spans="1:12" x14ac:dyDescent="0.25">
      <c r="A39" t="s">
        <v>1016</v>
      </c>
      <c r="B39" s="7" t="s">
        <v>1017</v>
      </c>
      <c r="C39" s="22">
        <v>0</v>
      </c>
      <c r="D39" s="22">
        <v>0</v>
      </c>
      <c r="E39" s="22">
        <v>0</v>
      </c>
      <c r="F39" s="22">
        <v>0</v>
      </c>
      <c r="G39" s="22">
        <v>5816.16</v>
      </c>
      <c r="H39" s="21">
        <v>6644</v>
      </c>
      <c r="I39" s="22"/>
      <c r="J39" s="21">
        <v>9000</v>
      </c>
      <c r="K39" s="24">
        <v>0</v>
      </c>
      <c r="L39" s="22">
        <f t="shared" si="0"/>
        <v>9000</v>
      </c>
    </row>
    <row r="40" spans="1:12" x14ac:dyDescent="0.25">
      <c r="A40" t="s">
        <v>1018</v>
      </c>
      <c r="B40" s="7" t="s">
        <v>436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1">
        <v>0</v>
      </c>
      <c r="I40" s="22"/>
      <c r="J40" s="21">
        <v>0</v>
      </c>
      <c r="K40" s="24">
        <v>0</v>
      </c>
      <c r="L40" s="22">
        <f t="shared" si="0"/>
        <v>0</v>
      </c>
    </row>
    <row r="41" spans="1:12" x14ac:dyDescent="0.25">
      <c r="A41" t="s">
        <v>1019</v>
      </c>
      <c r="B41" s="7" t="s">
        <v>1020</v>
      </c>
      <c r="C41" s="22">
        <v>0</v>
      </c>
      <c r="D41" s="22">
        <v>0</v>
      </c>
      <c r="E41" s="22">
        <v>0</v>
      </c>
      <c r="F41" s="22">
        <v>65400</v>
      </c>
      <c r="G41" s="22">
        <v>30046.79</v>
      </c>
      <c r="H41" s="21">
        <v>34200</v>
      </c>
      <c r="I41" s="22"/>
      <c r="J41" s="21">
        <v>50000</v>
      </c>
      <c r="K41" s="24">
        <v>0</v>
      </c>
      <c r="L41" s="22">
        <f t="shared" si="0"/>
        <v>50000</v>
      </c>
    </row>
    <row r="42" spans="1:12" x14ac:dyDescent="0.25">
      <c r="A42" t="s">
        <v>1021</v>
      </c>
      <c r="B42" s="7" t="s">
        <v>1022</v>
      </c>
      <c r="C42" s="22">
        <v>0</v>
      </c>
      <c r="D42" s="22">
        <v>0</v>
      </c>
      <c r="E42" s="22">
        <v>0</v>
      </c>
      <c r="F42" s="22">
        <v>71476</v>
      </c>
      <c r="G42" s="22">
        <v>13108.4</v>
      </c>
      <c r="H42" s="21">
        <v>14800</v>
      </c>
      <c r="I42" s="22"/>
      <c r="J42" s="21">
        <v>20000</v>
      </c>
      <c r="K42" s="24">
        <v>0</v>
      </c>
      <c r="L42" s="22">
        <f t="shared" si="0"/>
        <v>20000</v>
      </c>
    </row>
    <row r="43" spans="1:12" x14ac:dyDescent="0.25">
      <c r="A43" t="s">
        <v>1023</v>
      </c>
      <c r="B43" s="7" t="s">
        <v>607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1">
        <v>0</v>
      </c>
      <c r="I43" s="22"/>
      <c r="J43" s="21">
        <v>0</v>
      </c>
      <c r="K43" s="24">
        <v>0</v>
      </c>
      <c r="L43" s="22">
        <f t="shared" si="0"/>
        <v>0</v>
      </c>
    </row>
    <row r="44" spans="1:12" hidden="1" x14ac:dyDescent="0.25">
      <c r="A44" t="s">
        <v>1024</v>
      </c>
      <c r="B44" s="7" t="s">
        <v>1025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1">
        <v>0</v>
      </c>
      <c r="I44" s="22"/>
      <c r="J44" s="21">
        <v>0</v>
      </c>
      <c r="K44" s="24">
        <v>0</v>
      </c>
      <c r="L44" s="22">
        <f t="shared" si="0"/>
        <v>0</v>
      </c>
    </row>
    <row r="45" spans="1:12" x14ac:dyDescent="0.25">
      <c r="C45" s="22"/>
      <c r="D45" s="22"/>
      <c r="E45" s="22"/>
      <c r="F45" s="22"/>
      <c r="G45" s="22"/>
      <c r="H45" s="21"/>
      <c r="I45" s="22"/>
      <c r="J45" s="21"/>
      <c r="K45" s="21"/>
      <c r="L45" s="22"/>
    </row>
    <row r="46" spans="1:12" x14ac:dyDescent="0.25">
      <c r="C46" s="22"/>
      <c r="D46" s="22"/>
      <c r="E46" s="22"/>
      <c r="F46" s="22"/>
      <c r="G46" s="22"/>
      <c r="H46" s="21"/>
      <c r="I46" s="22"/>
      <c r="J46" s="21"/>
      <c r="K46" s="21"/>
      <c r="L46" s="22"/>
    </row>
    <row r="47" spans="1:12" x14ac:dyDescent="0.25">
      <c r="A47" t="s">
        <v>109</v>
      </c>
      <c r="C47" s="22"/>
      <c r="D47" s="22"/>
      <c r="E47" s="22"/>
      <c r="F47" s="22"/>
      <c r="G47" s="22"/>
      <c r="H47" s="21"/>
      <c r="I47" s="22"/>
      <c r="J47" s="21"/>
      <c r="K47" s="21"/>
      <c r="L47" s="22"/>
    </row>
    <row r="48" spans="1:12" x14ac:dyDescent="0.25">
      <c r="B48" t="s">
        <v>441</v>
      </c>
      <c r="C48" s="20">
        <f t="shared" ref="C48:H48" si="1">SUM(C13:C44)</f>
        <v>1760673</v>
      </c>
      <c r="D48" s="20">
        <f t="shared" si="1"/>
        <v>2184953</v>
      </c>
      <c r="E48" s="20">
        <f t="shared" si="1"/>
        <v>2539882</v>
      </c>
      <c r="F48" s="20">
        <f t="shared" si="1"/>
        <v>2862216</v>
      </c>
      <c r="G48" s="20">
        <f t="shared" si="1"/>
        <v>2310886.64</v>
      </c>
      <c r="H48" s="20">
        <f t="shared" si="1"/>
        <v>2583133</v>
      </c>
      <c r="I48" s="20"/>
      <c r="J48" s="20">
        <f>SUM(J13:J44)</f>
        <v>2675279.4890000001</v>
      </c>
      <c r="K48" s="20">
        <f>SUM(K13:K44)</f>
        <v>146702.76</v>
      </c>
      <c r="L48" s="20">
        <f>SUM(L13:L44)</f>
        <v>2821982.2489999998</v>
      </c>
    </row>
    <row r="49" spans="1:12" x14ac:dyDescent="0.25">
      <c r="C49" s="22"/>
      <c r="D49" s="22"/>
      <c r="E49" s="22"/>
      <c r="F49" s="22"/>
      <c r="G49" s="22"/>
      <c r="H49" s="21"/>
      <c r="I49" s="22"/>
      <c r="J49" s="21"/>
      <c r="K49" s="21"/>
      <c r="L49" s="22"/>
    </row>
    <row r="50" spans="1:12" x14ac:dyDescent="0.25">
      <c r="A50" t="s">
        <v>478</v>
      </c>
      <c r="C50" s="22"/>
      <c r="D50" s="22"/>
      <c r="E50" s="22"/>
      <c r="F50" s="22"/>
      <c r="G50" s="22"/>
      <c r="H50" s="21"/>
      <c r="I50" s="22"/>
      <c r="J50" s="21"/>
      <c r="K50" s="21"/>
      <c r="L50" s="22"/>
    </row>
    <row r="51" spans="1:12" x14ac:dyDescent="0.25">
      <c r="A51" t="s">
        <v>18</v>
      </c>
      <c r="B51" s="7" t="s">
        <v>21</v>
      </c>
      <c r="C51" s="22"/>
      <c r="D51" s="22"/>
      <c r="E51" s="22"/>
      <c r="F51" s="22"/>
      <c r="G51" s="22"/>
      <c r="H51" s="21"/>
      <c r="I51" s="22"/>
      <c r="J51" s="21"/>
      <c r="K51" s="21"/>
      <c r="L51" s="22"/>
    </row>
    <row r="52" spans="1:12" x14ac:dyDescent="0.25">
      <c r="A52" t="s">
        <v>1026</v>
      </c>
      <c r="B52" s="7" t="s">
        <v>445</v>
      </c>
      <c r="C52" s="22">
        <v>24567</v>
      </c>
      <c r="D52" s="22">
        <v>31921</v>
      </c>
      <c r="E52" s="22">
        <v>33678</v>
      </c>
      <c r="F52" s="22">
        <v>37046</v>
      </c>
      <c r="G52" s="22">
        <v>30963.09</v>
      </c>
      <c r="H52" s="21">
        <v>30963</v>
      </c>
      <c r="I52" s="22"/>
      <c r="J52" s="24">
        <v>37046</v>
      </c>
      <c r="K52" s="21">
        <v>0</v>
      </c>
      <c r="L52" s="22">
        <f t="shared" ref="L52:L97" si="2">SUM(J52+K52)</f>
        <v>37046</v>
      </c>
    </row>
    <row r="53" spans="1:12" x14ac:dyDescent="0.25">
      <c r="A53" t="s">
        <v>1027</v>
      </c>
      <c r="B53" s="7" t="s">
        <v>447</v>
      </c>
      <c r="C53" s="22">
        <v>3885</v>
      </c>
      <c r="D53" s="22">
        <v>12784</v>
      </c>
      <c r="E53" s="22">
        <v>12603</v>
      </c>
      <c r="F53" s="22">
        <v>9000</v>
      </c>
      <c r="G53" s="22">
        <v>11987.29</v>
      </c>
      <c r="H53" s="21">
        <v>12800</v>
      </c>
      <c r="I53" s="22"/>
      <c r="J53" s="24">
        <v>12500</v>
      </c>
      <c r="K53" s="21">
        <v>0</v>
      </c>
      <c r="L53" s="22">
        <f t="shared" si="2"/>
        <v>12500</v>
      </c>
    </row>
    <row r="54" spans="1:12" x14ac:dyDescent="0.25">
      <c r="A54" t="s">
        <v>1028</v>
      </c>
      <c r="B54" s="7" t="s">
        <v>1029</v>
      </c>
      <c r="C54" s="22">
        <v>400</v>
      </c>
      <c r="D54" s="22">
        <v>17290</v>
      </c>
      <c r="E54" s="22">
        <v>1700</v>
      </c>
      <c r="F54" s="22">
        <v>16200</v>
      </c>
      <c r="G54" s="22">
        <v>11783.21</v>
      </c>
      <c r="H54" s="21">
        <v>11783</v>
      </c>
      <c r="I54" s="22"/>
      <c r="J54" s="24">
        <v>6000</v>
      </c>
      <c r="K54" s="21">
        <v>0</v>
      </c>
      <c r="L54" s="22">
        <f t="shared" si="2"/>
        <v>6000</v>
      </c>
    </row>
    <row r="55" spans="1:12" x14ac:dyDescent="0.25">
      <c r="B55" s="7" t="s">
        <v>3599</v>
      </c>
      <c r="C55" s="22"/>
      <c r="D55" s="22"/>
      <c r="E55" s="22"/>
      <c r="F55" s="22"/>
      <c r="G55" s="22"/>
      <c r="H55" s="21"/>
      <c r="I55" s="24"/>
      <c r="J55" s="24"/>
      <c r="K55" s="24"/>
      <c r="L55" s="22"/>
    </row>
    <row r="56" spans="1:12" x14ac:dyDescent="0.25">
      <c r="A56" t="s">
        <v>1030</v>
      </c>
      <c r="B56" s="7" t="s">
        <v>449</v>
      </c>
      <c r="C56" s="22">
        <v>2763</v>
      </c>
      <c r="D56" s="22">
        <v>5637</v>
      </c>
      <c r="E56" s="22">
        <v>11475</v>
      </c>
      <c r="F56" s="22">
        <v>23000</v>
      </c>
      <c r="G56" s="22">
        <v>19998.490000000002</v>
      </c>
      <c r="H56" s="21">
        <v>20000</v>
      </c>
      <c r="I56" s="22"/>
      <c r="J56" s="24">
        <v>25000</v>
      </c>
      <c r="K56" s="21"/>
      <c r="L56" s="22">
        <f t="shared" si="2"/>
        <v>25000</v>
      </c>
    </row>
    <row r="57" spans="1:12" x14ac:dyDescent="0.25">
      <c r="B57" s="7" t="s">
        <v>3600</v>
      </c>
      <c r="C57" s="22"/>
      <c r="D57" s="22"/>
      <c r="E57" s="22"/>
      <c r="F57" s="22"/>
      <c r="G57" s="22"/>
      <c r="H57" s="21"/>
      <c r="I57" s="24"/>
      <c r="J57" s="24"/>
      <c r="K57" s="24"/>
      <c r="L57" s="22"/>
    </row>
    <row r="58" spans="1:12" x14ac:dyDescent="0.25">
      <c r="A58" t="s">
        <v>1031</v>
      </c>
      <c r="B58" s="7" t="s">
        <v>1032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1">
        <v>0</v>
      </c>
      <c r="I58" s="22"/>
      <c r="J58" s="24"/>
      <c r="K58" s="21">
        <v>0</v>
      </c>
      <c r="L58" s="22">
        <f t="shared" si="2"/>
        <v>0</v>
      </c>
    </row>
    <row r="59" spans="1:12" x14ac:dyDescent="0.25">
      <c r="A59" t="s">
        <v>1033</v>
      </c>
      <c r="B59" s="7" t="s">
        <v>451</v>
      </c>
      <c r="C59" s="22">
        <v>2465</v>
      </c>
      <c r="D59" s="22">
        <v>9550</v>
      </c>
      <c r="E59" s="22">
        <v>15300</v>
      </c>
      <c r="F59" s="22">
        <v>34500</v>
      </c>
      <c r="G59" s="22">
        <v>11060.14</v>
      </c>
      <c r="H59" s="21">
        <v>11060</v>
      </c>
      <c r="I59" s="22"/>
      <c r="J59" s="24">
        <v>20000</v>
      </c>
      <c r="K59" s="21">
        <v>0</v>
      </c>
      <c r="L59" s="22">
        <f t="shared" si="2"/>
        <v>20000</v>
      </c>
    </row>
    <row r="60" spans="1:12" x14ac:dyDescent="0.25">
      <c r="A60" t="s">
        <v>1034</v>
      </c>
      <c r="B60" s="7" t="s">
        <v>1035</v>
      </c>
      <c r="C60" s="22">
        <v>200</v>
      </c>
      <c r="D60" s="22">
        <v>1000</v>
      </c>
      <c r="E60" s="22">
        <v>0</v>
      </c>
      <c r="F60" s="22">
        <v>3300</v>
      </c>
      <c r="G60" s="22">
        <v>2243</v>
      </c>
      <c r="H60" s="21">
        <v>2243</v>
      </c>
      <c r="I60" s="22"/>
      <c r="J60" s="24">
        <v>3300</v>
      </c>
      <c r="K60" s="21">
        <v>0</v>
      </c>
      <c r="L60" s="22">
        <f t="shared" si="2"/>
        <v>3300</v>
      </c>
    </row>
    <row r="61" spans="1:12" x14ac:dyDescent="0.25">
      <c r="B61" s="7" t="s">
        <v>3601</v>
      </c>
      <c r="C61" s="22"/>
      <c r="D61" s="22"/>
      <c r="E61" s="22"/>
      <c r="F61" s="22"/>
      <c r="G61" s="22"/>
      <c r="H61" s="21"/>
      <c r="I61" s="24">
        <v>3300</v>
      </c>
      <c r="J61" s="24"/>
      <c r="K61" s="24"/>
      <c r="L61" s="22"/>
    </row>
    <row r="62" spans="1:12" x14ac:dyDescent="0.25">
      <c r="A62" t="s">
        <v>1036</v>
      </c>
      <c r="B62" s="7" t="s">
        <v>1037</v>
      </c>
      <c r="C62" s="22">
        <v>3559</v>
      </c>
      <c r="D62" s="22">
        <v>0</v>
      </c>
      <c r="E62" s="22">
        <v>0</v>
      </c>
      <c r="F62" s="22">
        <v>3559</v>
      </c>
      <c r="G62" s="22">
        <v>0</v>
      </c>
      <c r="H62" s="21">
        <v>0</v>
      </c>
      <c r="I62" s="22"/>
      <c r="J62" s="24">
        <v>0</v>
      </c>
      <c r="K62" s="21">
        <v>0</v>
      </c>
      <c r="L62" s="22">
        <f t="shared" si="2"/>
        <v>0</v>
      </c>
    </row>
    <row r="63" spans="1:12" x14ac:dyDescent="0.25">
      <c r="A63" t="s">
        <v>1038</v>
      </c>
      <c r="B63" s="7" t="s">
        <v>1039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1">
        <v>0</v>
      </c>
      <c r="I63" s="22"/>
      <c r="J63" s="24">
        <v>0</v>
      </c>
      <c r="K63" s="21">
        <v>0</v>
      </c>
      <c r="L63" s="22">
        <f t="shared" si="2"/>
        <v>0</v>
      </c>
    </row>
    <row r="64" spans="1:12" x14ac:dyDescent="0.25">
      <c r="A64" t="s">
        <v>1040</v>
      </c>
      <c r="B64" s="7" t="s">
        <v>457</v>
      </c>
      <c r="C64" s="22">
        <v>120</v>
      </c>
      <c r="D64" s="22">
        <v>707</v>
      </c>
      <c r="E64" s="22">
        <v>1003</v>
      </c>
      <c r="F64" s="22">
        <v>1980</v>
      </c>
      <c r="G64" s="22">
        <v>2183.25</v>
      </c>
      <c r="H64" s="21">
        <v>2200</v>
      </c>
      <c r="I64" s="22"/>
      <c r="J64" s="24">
        <v>2000</v>
      </c>
      <c r="K64" s="21">
        <v>0</v>
      </c>
      <c r="L64" s="22">
        <f t="shared" si="2"/>
        <v>2000</v>
      </c>
    </row>
    <row r="65" spans="1:12" x14ac:dyDescent="0.25">
      <c r="B65" s="7" t="s">
        <v>3602</v>
      </c>
      <c r="C65" s="22"/>
      <c r="D65" s="22"/>
      <c r="E65" s="22"/>
      <c r="F65" s="22"/>
      <c r="G65" s="22"/>
      <c r="H65" s="21"/>
      <c r="I65" s="24"/>
      <c r="J65" s="24"/>
      <c r="K65" s="24"/>
      <c r="L65" s="22"/>
    </row>
    <row r="66" spans="1:12" x14ac:dyDescent="0.25">
      <c r="B66" s="7" t="s">
        <v>3603</v>
      </c>
      <c r="C66" s="22"/>
      <c r="D66" s="22"/>
      <c r="E66" s="22"/>
      <c r="F66" s="22"/>
      <c r="G66" s="22"/>
      <c r="H66" s="21"/>
      <c r="I66" s="24"/>
      <c r="J66" s="24"/>
      <c r="K66" s="24"/>
      <c r="L66" s="22"/>
    </row>
    <row r="67" spans="1:12" x14ac:dyDescent="0.25">
      <c r="B67" s="7" t="s">
        <v>3604</v>
      </c>
      <c r="C67" s="22"/>
      <c r="D67" s="22"/>
      <c r="E67" s="22"/>
      <c r="F67" s="22"/>
      <c r="G67" s="22"/>
      <c r="H67" s="21"/>
      <c r="I67" s="24"/>
      <c r="J67" s="24"/>
      <c r="K67" s="24"/>
      <c r="L67" s="22"/>
    </row>
    <row r="68" spans="1:12" x14ac:dyDescent="0.25">
      <c r="B68" s="7" t="s">
        <v>3605</v>
      </c>
      <c r="C68" s="22"/>
      <c r="D68" s="22"/>
      <c r="E68" s="22"/>
      <c r="F68" s="22"/>
      <c r="G68" s="22"/>
      <c r="H68" s="21"/>
      <c r="I68" s="24"/>
      <c r="J68" s="24"/>
      <c r="K68" s="24"/>
      <c r="L68" s="22"/>
    </row>
    <row r="69" spans="1:12" x14ac:dyDescent="0.25">
      <c r="A69" t="s">
        <v>1041</v>
      </c>
      <c r="B69" s="7" t="s">
        <v>459</v>
      </c>
      <c r="C69" s="22">
        <v>112</v>
      </c>
      <c r="D69" s="22">
        <v>0</v>
      </c>
      <c r="E69" s="22">
        <v>0</v>
      </c>
      <c r="F69" s="22">
        <v>0</v>
      </c>
      <c r="G69" s="22">
        <v>0</v>
      </c>
      <c r="H69" s="21">
        <v>0</v>
      </c>
      <c r="I69" s="22"/>
      <c r="J69" s="24">
        <v>0</v>
      </c>
      <c r="K69" s="21">
        <v>0</v>
      </c>
      <c r="L69" s="22">
        <f t="shared" si="2"/>
        <v>0</v>
      </c>
    </row>
    <row r="70" spans="1:12" x14ac:dyDescent="0.25">
      <c r="A70" t="s">
        <v>1042</v>
      </c>
      <c r="B70" s="7" t="s">
        <v>461</v>
      </c>
      <c r="C70" s="22">
        <v>0</v>
      </c>
      <c r="D70" s="22">
        <v>0</v>
      </c>
      <c r="E70" s="22">
        <v>210</v>
      </c>
      <c r="F70" s="22">
        <v>0</v>
      </c>
      <c r="G70" s="22">
        <v>0</v>
      </c>
      <c r="H70" s="21">
        <v>0</v>
      </c>
      <c r="I70" s="22"/>
      <c r="J70" s="24">
        <v>0</v>
      </c>
      <c r="K70" s="21">
        <v>0</v>
      </c>
      <c r="L70" s="22">
        <f t="shared" si="2"/>
        <v>0</v>
      </c>
    </row>
    <row r="71" spans="1:12" x14ac:dyDescent="0.25">
      <c r="A71" t="s">
        <v>1044</v>
      </c>
      <c r="B71" s="7" t="s">
        <v>465</v>
      </c>
      <c r="C71" s="22">
        <v>19450</v>
      </c>
      <c r="D71" s="22">
        <v>12275</v>
      </c>
      <c r="E71" s="22">
        <v>0</v>
      </c>
      <c r="F71" s="22">
        <v>0</v>
      </c>
      <c r="G71" s="22">
        <v>0</v>
      </c>
      <c r="H71" s="21">
        <v>0</v>
      </c>
      <c r="I71" s="22"/>
      <c r="J71" s="24">
        <v>0</v>
      </c>
      <c r="K71" s="21">
        <v>0</v>
      </c>
      <c r="L71" s="22">
        <f t="shared" si="2"/>
        <v>0</v>
      </c>
    </row>
    <row r="72" spans="1:12" x14ac:dyDescent="0.25">
      <c r="A72" t="s">
        <v>1045</v>
      </c>
      <c r="B72" s="7" t="s">
        <v>471</v>
      </c>
      <c r="C72" s="22">
        <v>10412</v>
      </c>
      <c r="D72" s="22">
        <v>11701</v>
      </c>
      <c r="E72" s="22">
        <v>14352</v>
      </c>
      <c r="F72" s="22">
        <v>24750</v>
      </c>
      <c r="G72" s="22">
        <v>20368.79</v>
      </c>
      <c r="H72" s="21">
        <v>24276</v>
      </c>
      <c r="I72" s="22"/>
      <c r="J72" s="24">
        <v>24750</v>
      </c>
      <c r="K72" s="21">
        <v>0</v>
      </c>
      <c r="L72" s="22">
        <f t="shared" si="2"/>
        <v>24750</v>
      </c>
    </row>
    <row r="73" spans="1:12" x14ac:dyDescent="0.25">
      <c r="B73" s="7" t="s">
        <v>3606</v>
      </c>
      <c r="C73" s="22"/>
      <c r="D73" s="22"/>
      <c r="E73" s="22"/>
      <c r="F73" s="22"/>
      <c r="G73" s="22"/>
      <c r="H73" s="21"/>
      <c r="I73" s="24">
        <v>6700</v>
      </c>
      <c r="J73" s="24"/>
      <c r="K73" s="24"/>
      <c r="L73" s="22"/>
    </row>
    <row r="74" spans="1:12" x14ac:dyDescent="0.25">
      <c r="B74" s="7" t="s">
        <v>3607</v>
      </c>
      <c r="C74" s="22"/>
      <c r="D74" s="22"/>
      <c r="E74" s="22"/>
      <c r="F74" s="22"/>
      <c r="G74" s="22"/>
      <c r="H74" s="21"/>
      <c r="I74" s="24">
        <v>50</v>
      </c>
      <c r="J74" s="24"/>
      <c r="K74" s="24"/>
      <c r="L74" s="22"/>
    </row>
    <row r="75" spans="1:12" x14ac:dyDescent="0.25">
      <c r="B75" s="7" t="s">
        <v>3608</v>
      </c>
      <c r="C75" s="22"/>
      <c r="D75" s="22"/>
      <c r="E75" s="22"/>
      <c r="F75" s="22"/>
      <c r="G75" s="22"/>
      <c r="H75" s="21"/>
      <c r="I75" s="24">
        <v>10000</v>
      </c>
      <c r="J75" s="24"/>
      <c r="K75" s="24"/>
      <c r="L75" s="22"/>
    </row>
    <row r="76" spans="1:12" x14ac:dyDescent="0.25">
      <c r="B76" s="7" t="s">
        <v>3609</v>
      </c>
      <c r="C76" s="22"/>
      <c r="D76" s="22"/>
      <c r="E76" s="22"/>
      <c r="F76" s="22"/>
      <c r="G76" s="22"/>
      <c r="H76" s="21"/>
      <c r="I76" s="24">
        <v>8000</v>
      </c>
      <c r="J76" s="24"/>
      <c r="K76" s="24"/>
      <c r="L76" s="22"/>
    </row>
    <row r="77" spans="1:12" x14ac:dyDescent="0.25">
      <c r="A77" t="s">
        <v>1046</v>
      </c>
      <c r="B77" s="7" t="s">
        <v>1047</v>
      </c>
      <c r="C77" s="22">
        <v>13284</v>
      </c>
      <c r="D77" s="22">
        <v>13015</v>
      </c>
      <c r="E77" s="22">
        <v>12804</v>
      </c>
      <c r="F77" s="22">
        <v>15550</v>
      </c>
      <c r="G77" s="22">
        <v>11747.38</v>
      </c>
      <c r="H77" s="21">
        <v>13350</v>
      </c>
      <c r="I77" s="22"/>
      <c r="J77" s="24">
        <v>15550</v>
      </c>
      <c r="K77" s="21">
        <v>0</v>
      </c>
      <c r="L77" s="22">
        <f t="shared" si="2"/>
        <v>15550</v>
      </c>
    </row>
    <row r="78" spans="1:12" x14ac:dyDescent="0.25">
      <c r="A78" t="s">
        <v>1048</v>
      </c>
      <c r="B78" s="7" t="s">
        <v>1049</v>
      </c>
      <c r="C78" s="22">
        <v>1455</v>
      </c>
      <c r="D78" s="22">
        <v>1505</v>
      </c>
      <c r="E78" s="22">
        <v>1347</v>
      </c>
      <c r="F78" s="22">
        <v>2200</v>
      </c>
      <c r="G78" s="22">
        <v>774.63</v>
      </c>
      <c r="H78" s="21">
        <v>800</v>
      </c>
      <c r="I78" s="22"/>
      <c r="J78" s="24">
        <v>1100</v>
      </c>
      <c r="K78" s="21">
        <v>0</v>
      </c>
      <c r="L78" s="22">
        <f t="shared" si="2"/>
        <v>1100</v>
      </c>
    </row>
    <row r="79" spans="1:12" x14ac:dyDescent="0.25">
      <c r="A79" t="s">
        <v>1050</v>
      </c>
      <c r="B79" s="7" t="s">
        <v>1051</v>
      </c>
      <c r="C79" s="22">
        <v>782</v>
      </c>
      <c r="D79" s="22">
        <v>981</v>
      </c>
      <c r="E79" s="22">
        <v>914</v>
      </c>
      <c r="F79" s="22">
        <v>1575</v>
      </c>
      <c r="G79" s="22">
        <v>450.52</v>
      </c>
      <c r="H79" s="21">
        <v>475</v>
      </c>
      <c r="I79" s="22"/>
      <c r="J79" s="24">
        <v>700</v>
      </c>
      <c r="K79" s="21">
        <v>0</v>
      </c>
      <c r="L79" s="22">
        <f t="shared" si="2"/>
        <v>700</v>
      </c>
    </row>
    <row r="80" spans="1:12" x14ac:dyDescent="0.25">
      <c r="A80" t="s">
        <v>1052</v>
      </c>
      <c r="B80" s="7" t="s">
        <v>473</v>
      </c>
      <c r="C80" s="22">
        <v>614</v>
      </c>
      <c r="D80" s="22">
        <v>2920</v>
      </c>
      <c r="E80" s="22">
        <v>1062</v>
      </c>
      <c r="F80" s="22">
        <v>6900</v>
      </c>
      <c r="G80" s="22">
        <v>170</v>
      </c>
      <c r="H80" s="21">
        <v>1500</v>
      </c>
      <c r="I80" s="22"/>
      <c r="J80" s="24">
        <v>12500</v>
      </c>
      <c r="K80" s="21">
        <v>0</v>
      </c>
      <c r="L80" s="22">
        <f t="shared" si="2"/>
        <v>12500</v>
      </c>
    </row>
    <row r="81" spans="1:12" x14ac:dyDescent="0.25">
      <c r="B81" s="7" t="s">
        <v>3610</v>
      </c>
      <c r="C81" s="22"/>
      <c r="D81" s="22"/>
      <c r="E81" s="22"/>
      <c r="F81" s="22"/>
      <c r="G81" s="22"/>
      <c r="H81" s="21"/>
      <c r="I81" s="24"/>
      <c r="J81" s="24"/>
      <c r="K81" s="24"/>
      <c r="L81" s="22"/>
    </row>
    <row r="82" spans="1:12" x14ac:dyDescent="0.25">
      <c r="B82" s="7" t="s">
        <v>3611</v>
      </c>
      <c r="C82" s="22"/>
      <c r="D82" s="22"/>
      <c r="E82" s="22"/>
      <c r="F82" s="22"/>
      <c r="G82" s="22"/>
      <c r="H82" s="21"/>
      <c r="I82" s="24"/>
      <c r="J82" s="24"/>
      <c r="K82" s="24"/>
      <c r="L82" s="22"/>
    </row>
    <row r="83" spans="1:12" x14ac:dyDescent="0.25">
      <c r="B83" s="7" t="s">
        <v>3612</v>
      </c>
      <c r="C83" s="22"/>
      <c r="D83" s="22"/>
      <c r="E83" s="22"/>
      <c r="F83" s="22"/>
      <c r="G83" s="22"/>
      <c r="H83" s="21"/>
      <c r="I83" s="24"/>
      <c r="J83" s="24"/>
      <c r="K83" s="24"/>
      <c r="L83" s="22"/>
    </row>
    <row r="84" spans="1:12" x14ac:dyDescent="0.25">
      <c r="A84" t="s">
        <v>1053</v>
      </c>
      <c r="B84" s="7" t="s">
        <v>626</v>
      </c>
      <c r="C84" s="22">
        <v>26304</v>
      </c>
      <c r="D84" s="22">
        <v>30941</v>
      </c>
      <c r="E84" s="22">
        <v>51597</v>
      </c>
      <c r="F84" s="22">
        <v>59980</v>
      </c>
      <c r="G84" s="22">
        <v>35843.47</v>
      </c>
      <c r="H84" s="21">
        <v>37500</v>
      </c>
      <c r="I84" s="22"/>
      <c r="J84" s="24">
        <v>44000</v>
      </c>
      <c r="K84" s="21">
        <v>0</v>
      </c>
      <c r="L84" s="22">
        <f t="shared" si="2"/>
        <v>44000</v>
      </c>
    </row>
    <row r="85" spans="1:12" x14ac:dyDescent="0.25">
      <c r="B85" s="7" t="s">
        <v>3613</v>
      </c>
      <c r="C85" s="22"/>
      <c r="D85" s="22"/>
      <c r="E85" s="22"/>
      <c r="F85" s="22"/>
      <c r="G85" s="22"/>
      <c r="H85" s="21"/>
      <c r="I85" s="24">
        <v>2000</v>
      </c>
      <c r="J85" s="24"/>
      <c r="K85" s="24"/>
      <c r="L85" s="22"/>
    </row>
    <row r="86" spans="1:12" x14ac:dyDescent="0.25">
      <c r="B86" s="7" t="s">
        <v>3614</v>
      </c>
      <c r="C86" s="22"/>
      <c r="D86" s="22"/>
      <c r="E86" s="22"/>
      <c r="F86" s="22"/>
      <c r="G86" s="22"/>
      <c r="H86" s="21"/>
      <c r="I86" s="24">
        <v>19000</v>
      </c>
      <c r="J86" s="24"/>
      <c r="K86" s="24"/>
      <c r="L86" s="22"/>
    </row>
    <row r="87" spans="1:12" x14ac:dyDescent="0.25">
      <c r="B87" s="7" t="s">
        <v>3615</v>
      </c>
      <c r="C87" s="22"/>
      <c r="D87" s="22"/>
      <c r="E87" s="22"/>
      <c r="F87" s="22"/>
      <c r="G87" s="22"/>
      <c r="H87" s="21"/>
      <c r="I87" s="24">
        <v>4000</v>
      </c>
      <c r="J87" s="24"/>
      <c r="K87" s="24"/>
      <c r="L87" s="22"/>
    </row>
    <row r="88" spans="1:12" x14ac:dyDescent="0.25">
      <c r="B88" s="7" t="s">
        <v>3616</v>
      </c>
      <c r="C88" s="22"/>
      <c r="D88" s="22"/>
      <c r="E88" s="22"/>
      <c r="F88" s="22"/>
      <c r="G88" s="22"/>
      <c r="H88" s="21"/>
      <c r="I88" s="24">
        <v>19000</v>
      </c>
      <c r="J88" s="24"/>
      <c r="K88" s="24"/>
      <c r="L88" s="22"/>
    </row>
    <row r="89" spans="1:12" x14ac:dyDescent="0.25">
      <c r="A89" t="s">
        <v>1054</v>
      </c>
      <c r="B89" s="7" t="s">
        <v>1055</v>
      </c>
      <c r="C89" s="22">
        <v>116</v>
      </c>
      <c r="D89" s="22">
        <v>200</v>
      </c>
      <c r="E89" s="22">
        <v>905</v>
      </c>
      <c r="F89" s="22">
        <v>0</v>
      </c>
      <c r="G89" s="22">
        <v>0</v>
      </c>
      <c r="H89" s="21">
        <v>0</v>
      </c>
      <c r="I89" s="22"/>
      <c r="J89" s="21">
        <v>0</v>
      </c>
      <c r="K89" s="21">
        <v>0</v>
      </c>
      <c r="L89" s="22">
        <f t="shared" si="2"/>
        <v>0</v>
      </c>
    </row>
    <row r="90" spans="1:12" hidden="1" x14ac:dyDescent="0.25">
      <c r="A90" t="s">
        <v>1056</v>
      </c>
      <c r="B90" s="7" t="s">
        <v>1057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1">
        <v>0</v>
      </c>
      <c r="I90" s="22"/>
      <c r="J90" s="21">
        <v>0</v>
      </c>
      <c r="K90" s="21">
        <v>0</v>
      </c>
      <c r="L90" s="22">
        <f t="shared" si="2"/>
        <v>0</v>
      </c>
    </row>
    <row r="91" spans="1:12" x14ac:dyDescent="0.25">
      <c r="A91" t="s">
        <v>1058</v>
      </c>
      <c r="B91" s="7" t="s">
        <v>475</v>
      </c>
      <c r="C91" s="22">
        <v>3962</v>
      </c>
      <c r="D91" s="22">
        <v>1060</v>
      </c>
      <c r="E91" s="22">
        <v>1537</v>
      </c>
      <c r="F91" s="22">
        <v>2600</v>
      </c>
      <c r="G91" s="22">
        <v>2581.23</v>
      </c>
      <c r="H91" s="21">
        <v>3115</v>
      </c>
      <c r="I91" s="22"/>
      <c r="J91" s="24">
        <v>2600</v>
      </c>
      <c r="K91" s="21">
        <v>0</v>
      </c>
      <c r="L91" s="22">
        <f t="shared" si="2"/>
        <v>2600</v>
      </c>
    </row>
    <row r="92" spans="1:12" x14ac:dyDescent="0.25">
      <c r="A92" t="s">
        <v>1059</v>
      </c>
      <c r="B92" s="7" t="s">
        <v>3617</v>
      </c>
      <c r="C92" s="22">
        <v>0</v>
      </c>
      <c r="D92" s="22">
        <v>1033</v>
      </c>
      <c r="E92" s="22">
        <v>326</v>
      </c>
      <c r="F92" s="22">
        <v>4000</v>
      </c>
      <c r="G92" s="22">
        <v>1253.42</v>
      </c>
      <c r="H92" s="21">
        <v>1253</v>
      </c>
      <c r="I92" s="22"/>
      <c r="J92" s="24">
        <v>3000</v>
      </c>
      <c r="K92" s="21">
        <v>0</v>
      </c>
      <c r="L92" s="22">
        <f t="shared" si="2"/>
        <v>3000</v>
      </c>
    </row>
    <row r="93" spans="1:12" x14ac:dyDescent="0.25">
      <c r="B93" s="7" t="s">
        <v>3618</v>
      </c>
      <c r="C93" s="22"/>
      <c r="D93" s="22"/>
      <c r="E93" s="22"/>
      <c r="F93" s="22"/>
      <c r="G93" s="22"/>
      <c r="H93" s="21"/>
      <c r="I93" s="24">
        <v>3000</v>
      </c>
      <c r="J93" s="24"/>
      <c r="K93" s="24"/>
      <c r="L93" s="22"/>
    </row>
    <row r="94" spans="1:12" x14ac:dyDescent="0.25">
      <c r="A94" t="s">
        <v>1061</v>
      </c>
      <c r="B94" s="7" t="s">
        <v>3619</v>
      </c>
      <c r="C94" s="22">
        <v>0</v>
      </c>
      <c r="D94" s="22">
        <v>6690</v>
      </c>
      <c r="E94" s="22">
        <v>7237</v>
      </c>
      <c r="F94" s="22">
        <v>8000</v>
      </c>
      <c r="G94" s="22">
        <v>5262.98</v>
      </c>
      <c r="H94" s="21">
        <v>5263</v>
      </c>
      <c r="I94" s="22"/>
      <c r="J94" s="24">
        <v>0</v>
      </c>
      <c r="K94" s="21">
        <v>0</v>
      </c>
      <c r="L94" s="22">
        <f t="shared" si="2"/>
        <v>0</v>
      </c>
    </row>
    <row r="95" spans="1:12" x14ac:dyDescent="0.25">
      <c r="A95" t="s">
        <v>1063</v>
      </c>
      <c r="B95" s="7" t="s">
        <v>3620</v>
      </c>
      <c r="C95" s="22">
        <v>0</v>
      </c>
      <c r="D95" s="22">
        <v>1740</v>
      </c>
      <c r="E95" s="22">
        <v>5724</v>
      </c>
      <c r="F95" s="22">
        <v>6000</v>
      </c>
      <c r="G95" s="22">
        <v>2919.59</v>
      </c>
      <c r="H95" s="21">
        <v>6000</v>
      </c>
      <c r="I95" s="22"/>
      <c r="J95" s="24">
        <v>6000</v>
      </c>
      <c r="K95" s="21">
        <v>0</v>
      </c>
      <c r="L95" s="22">
        <f t="shared" si="2"/>
        <v>6000</v>
      </c>
    </row>
    <row r="96" spans="1:12" x14ac:dyDescent="0.25">
      <c r="B96" s="7" t="s">
        <v>3621</v>
      </c>
      <c r="C96" s="22"/>
      <c r="D96" s="22"/>
      <c r="E96" s="22"/>
      <c r="F96" s="22"/>
      <c r="G96" s="22"/>
      <c r="H96" s="21"/>
      <c r="I96" s="24">
        <v>6000</v>
      </c>
      <c r="J96" s="24"/>
      <c r="K96" s="24"/>
      <c r="L96" s="22"/>
    </row>
    <row r="97" spans="1:12" x14ac:dyDescent="0.25">
      <c r="A97" t="s">
        <v>1065</v>
      </c>
      <c r="B97" s="7" t="s">
        <v>477</v>
      </c>
      <c r="C97" s="22">
        <v>8000</v>
      </c>
      <c r="D97" s="22">
        <v>15737</v>
      </c>
      <c r="E97" s="22">
        <v>29354</v>
      </c>
      <c r="F97" s="22">
        <v>55000</v>
      </c>
      <c r="G97" s="22">
        <v>21580.09</v>
      </c>
      <c r="H97" s="21">
        <v>55000</v>
      </c>
      <c r="I97" s="22"/>
      <c r="J97" s="24">
        <v>30550</v>
      </c>
      <c r="K97" s="21">
        <v>0</v>
      </c>
      <c r="L97" s="22">
        <f t="shared" si="2"/>
        <v>30550</v>
      </c>
    </row>
    <row r="98" spans="1:12" x14ac:dyDescent="0.25">
      <c r="B98" s="7" t="s">
        <v>3622</v>
      </c>
      <c r="C98" s="22"/>
      <c r="D98" s="22"/>
      <c r="E98" s="22"/>
      <c r="F98" s="22"/>
      <c r="G98" s="22"/>
      <c r="H98" s="21"/>
      <c r="I98" s="24">
        <v>15550</v>
      </c>
      <c r="J98" s="24"/>
      <c r="K98" s="24"/>
      <c r="L98" s="22"/>
    </row>
    <row r="99" spans="1:12" x14ac:dyDescent="0.25">
      <c r="B99" s="7" t="s">
        <v>3623</v>
      </c>
      <c r="C99" s="22"/>
      <c r="D99" s="22"/>
      <c r="E99" s="22"/>
      <c r="F99" s="22"/>
      <c r="G99" s="22"/>
      <c r="H99" s="21"/>
      <c r="I99" s="24">
        <v>15000</v>
      </c>
      <c r="J99" s="24"/>
      <c r="K99" s="24"/>
      <c r="L99" s="22"/>
    </row>
    <row r="100" spans="1:12" x14ac:dyDescent="0.25">
      <c r="C100" s="22"/>
      <c r="D100" s="22"/>
      <c r="E100" s="22"/>
      <c r="F100" s="22"/>
      <c r="G100" s="22"/>
      <c r="H100" s="21"/>
      <c r="I100" s="22"/>
      <c r="J100" s="21"/>
      <c r="K100" s="21"/>
      <c r="L100" s="22"/>
    </row>
    <row r="101" spans="1:12" x14ac:dyDescent="0.25">
      <c r="C101" s="22"/>
      <c r="D101" s="22"/>
      <c r="E101" s="22"/>
      <c r="F101" s="22"/>
      <c r="G101" s="22"/>
      <c r="H101" s="21"/>
      <c r="I101" s="22"/>
      <c r="J101" s="21"/>
      <c r="K101" s="21"/>
      <c r="L101" s="22"/>
    </row>
    <row r="102" spans="1:12" x14ac:dyDescent="0.25">
      <c r="A102" t="s">
        <v>109</v>
      </c>
      <c r="C102" s="22"/>
      <c r="D102" s="22"/>
      <c r="E102" s="22"/>
      <c r="F102" s="22"/>
      <c r="G102" s="22"/>
      <c r="H102" s="21"/>
      <c r="I102" s="22"/>
      <c r="J102" s="21"/>
      <c r="K102" s="21"/>
      <c r="L102" s="22"/>
    </row>
    <row r="103" spans="1:12" x14ac:dyDescent="0.25">
      <c r="B103" t="s">
        <v>478</v>
      </c>
      <c r="C103" s="20">
        <f t="shared" ref="C103:H103" si="3">SUM(C52:C97)</f>
        <v>122450</v>
      </c>
      <c r="D103" s="20">
        <f t="shared" si="3"/>
        <v>178687</v>
      </c>
      <c r="E103" s="20">
        <f t="shared" si="3"/>
        <v>203128</v>
      </c>
      <c r="F103" s="20">
        <f t="shared" si="3"/>
        <v>315140</v>
      </c>
      <c r="G103" s="20">
        <f t="shared" si="3"/>
        <v>193170.57000000004</v>
      </c>
      <c r="H103" s="20">
        <f t="shared" si="3"/>
        <v>239581</v>
      </c>
      <c r="I103" s="20"/>
      <c r="J103" s="20">
        <f>SUM(J52:J97)</f>
        <v>246596</v>
      </c>
      <c r="K103" s="20">
        <f>SUM(K52:K97)</f>
        <v>0</v>
      </c>
      <c r="L103" s="20">
        <f>SUM(L52:L97)</f>
        <v>246596</v>
      </c>
    </row>
    <row r="104" spans="1:12" x14ac:dyDescent="0.25">
      <c r="C104" s="22"/>
      <c r="D104" s="22"/>
      <c r="E104" s="22"/>
      <c r="F104" s="22"/>
      <c r="G104" s="22"/>
      <c r="H104" s="21"/>
      <c r="I104" s="22"/>
      <c r="J104" s="21"/>
      <c r="K104" s="21"/>
      <c r="L104" s="22"/>
    </row>
    <row r="105" spans="1:12" x14ac:dyDescent="0.25">
      <c r="A105" t="s">
        <v>489</v>
      </c>
      <c r="C105" s="22"/>
      <c r="D105" s="22"/>
      <c r="E105" s="22"/>
      <c r="F105" s="22"/>
      <c r="G105" s="22"/>
      <c r="H105" s="21"/>
      <c r="I105" s="22"/>
      <c r="J105" s="21"/>
      <c r="K105" s="21"/>
      <c r="L105" s="22"/>
    </row>
    <row r="106" spans="1:12" x14ac:dyDescent="0.25">
      <c r="A106" t="s">
        <v>18</v>
      </c>
      <c r="C106" s="22"/>
      <c r="D106" s="22"/>
      <c r="E106" s="22"/>
      <c r="F106" s="22"/>
      <c r="G106" s="22"/>
      <c r="H106" s="21"/>
      <c r="I106" s="22"/>
      <c r="J106" s="21"/>
      <c r="K106" s="21"/>
      <c r="L106" s="22"/>
    </row>
    <row r="107" spans="1:12" x14ac:dyDescent="0.25">
      <c r="A107" t="s">
        <v>1066</v>
      </c>
      <c r="B107" s="7" t="s">
        <v>491</v>
      </c>
      <c r="C107" s="22">
        <v>1519</v>
      </c>
      <c r="D107" s="22">
        <v>216</v>
      </c>
      <c r="E107" s="22">
        <v>882</v>
      </c>
      <c r="F107" s="22">
        <v>1500</v>
      </c>
      <c r="G107" s="22">
        <v>0</v>
      </c>
      <c r="H107" s="21">
        <v>0</v>
      </c>
      <c r="I107" s="22"/>
      <c r="J107" s="24">
        <v>0</v>
      </c>
      <c r="K107" s="21">
        <v>0</v>
      </c>
      <c r="L107" s="22">
        <f t="shared" ref="L107:L123" si="4">SUM(J107+K107)</f>
        <v>0</v>
      </c>
    </row>
    <row r="108" spans="1:12" x14ac:dyDescent="0.25">
      <c r="A108" t="s">
        <v>1067</v>
      </c>
      <c r="B108" s="7" t="s">
        <v>493</v>
      </c>
      <c r="C108" s="22">
        <v>337</v>
      </c>
      <c r="D108" s="22">
        <v>466</v>
      </c>
      <c r="E108" s="22">
        <v>1122</v>
      </c>
      <c r="F108" s="22">
        <v>500</v>
      </c>
      <c r="G108" s="22">
        <v>653.37</v>
      </c>
      <c r="H108" s="21">
        <v>700</v>
      </c>
      <c r="I108" s="22"/>
      <c r="J108" s="24">
        <v>1000</v>
      </c>
      <c r="K108" s="21">
        <v>0</v>
      </c>
      <c r="L108" s="22">
        <f t="shared" si="4"/>
        <v>1000</v>
      </c>
    </row>
    <row r="109" spans="1:12" x14ac:dyDescent="0.25">
      <c r="A109" t="s">
        <v>1068</v>
      </c>
      <c r="B109" s="7" t="s">
        <v>489</v>
      </c>
      <c r="C109" s="22">
        <v>23109</v>
      </c>
      <c r="D109" s="22">
        <v>20249</v>
      </c>
      <c r="E109" s="22">
        <v>12442</v>
      </c>
      <c r="F109" s="22">
        <v>22500</v>
      </c>
      <c r="G109" s="22">
        <v>13186.62</v>
      </c>
      <c r="H109" s="21">
        <v>17500</v>
      </c>
      <c r="I109" s="22"/>
      <c r="J109" s="24">
        <v>18000</v>
      </c>
      <c r="K109" s="21">
        <v>0</v>
      </c>
      <c r="L109" s="22">
        <f t="shared" si="4"/>
        <v>18000</v>
      </c>
    </row>
    <row r="110" spans="1:12" x14ac:dyDescent="0.25">
      <c r="B110" s="7" t="s">
        <v>3624</v>
      </c>
      <c r="C110" s="22"/>
      <c r="D110" s="22"/>
      <c r="E110" s="22"/>
      <c r="F110" s="22"/>
      <c r="G110" s="22"/>
      <c r="H110" s="21"/>
      <c r="I110" s="24">
        <v>6500</v>
      </c>
      <c r="J110" s="24"/>
      <c r="K110" s="24"/>
      <c r="L110" s="22"/>
    </row>
    <row r="111" spans="1:12" x14ac:dyDescent="0.25">
      <c r="B111" s="7" t="s">
        <v>3625</v>
      </c>
      <c r="C111" s="22"/>
      <c r="D111" s="22"/>
      <c r="E111" s="22"/>
      <c r="F111" s="22"/>
      <c r="G111" s="22"/>
      <c r="H111" s="21"/>
      <c r="I111" s="24">
        <v>2000</v>
      </c>
      <c r="J111" s="24"/>
      <c r="K111" s="24"/>
      <c r="L111" s="22"/>
    </row>
    <row r="112" spans="1:12" x14ac:dyDescent="0.25">
      <c r="B112" s="7" t="s">
        <v>3626</v>
      </c>
      <c r="C112" s="22"/>
      <c r="D112" s="22"/>
      <c r="E112" s="22"/>
      <c r="F112" s="22"/>
      <c r="G112" s="22"/>
      <c r="H112" s="21"/>
      <c r="I112" s="24">
        <v>1000</v>
      </c>
      <c r="J112" s="24"/>
      <c r="K112" s="24"/>
      <c r="L112" s="22"/>
    </row>
    <row r="113" spans="1:12" x14ac:dyDescent="0.25">
      <c r="B113" s="7" t="s">
        <v>3627</v>
      </c>
      <c r="C113" s="22"/>
      <c r="D113" s="22"/>
      <c r="E113" s="22"/>
      <c r="F113" s="22"/>
      <c r="G113" s="22"/>
      <c r="H113" s="21"/>
      <c r="I113" s="24">
        <v>1500</v>
      </c>
      <c r="J113" s="24"/>
      <c r="K113" s="24"/>
      <c r="L113" s="22"/>
    </row>
    <row r="114" spans="1:12" x14ac:dyDescent="0.25">
      <c r="B114" s="7" t="s">
        <v>3628</v>
      </c>
      <c r="C114" s="22"/>
      <c r="D114" s="22"/>
      <c r="E114" s="22"/>
      <c r="F114" s="22"/>
      <c r="G114" s="22"/>
      <c r="H114" s="21"/>
      <c r="I114" s="24">
        <v>1200</v>
      </c>
      <c r="J114" s="24"/>
      <c r="K114" s="24"/>
      <c r="L114" s="22"/>
    </row>
    <row r="115" spans="1:12" x14ac:dyDescent="0.25">
      <c r="B115" s="7" t="s">
        <v>3629</v>
      </c>
      <c r="C115" s="22"/>
      <c r="D115" s="22"/>
      <c r="E115" s="22"/>
      <c r="F115" s="22"/>
      <c r="G115" s="22"/>
      <c r="H115" s="21"/>
      <c r="I115" s="24">
        <v>4800</v>
      </c>
      <c r="J115" s="24"/>
      <c r="K115" s="24"/>
      <c r="L115" s="22"/>
    </row>
    <row r="116" spans="1:12" x14ac:dyDescent="0.25">
      <c r="B116" s="7" t="s">
        <v>3630</v>
      </c>
      <c r="C116" s="22"/>
      <c r="D116" s="22"/>
      <c r="E116" s="22"/>
      <c r="F116" s="22"/>
      <c r="G116" s="22"/>
      <c r="H116" s="21"/>
      <c r="I116" s="24">
        <v>1000</v>
      </c>
      <c r="J116" s="24"/>
      <c r="K116" s="24"/>
      <c r="L116" s="22"/>
    </row>
    <row r="117" spans="1:12" x14ac:dyDescent="0.25">
      <c r="A117" t="s">
        <v>1069</v>
      </c>
      <c r="B117" s="7" t="s">
        <v>1070</v>
      </c>
      <c r="C117" s="22">
        <v>14598</v>
      </c>
      <c r="D117" s="22">
        <v>48428</v>
      </c>
      <c r="E117" s="22">
        <v>49947</v>
      </c>
      <c r="F117" s="22">
        <v>56000</v>
      </c>
      <c r="G117" s="22">
        <v>32101.39</v>
      </c>
      <c r="H117" s="21">
        <v>56000</v>
      </c>
      <c r="I117" s="22"/>
      <c r="J117" s="24">
        <v>35000</v>
      </c>
      <c r="K117" s="21">
        <v>0</v>
      </c>
      <c r="L117" s="22">
        <f t="shared" si="4"/>
        <v>35000</v>
      </c>
    </row>
    <row r="118" spans="1:12" x14ac:dyDescent="0.25">
      <c r="B118" s="7" t="s">
        <v>3631</v>
      </c>
      <c r="C118" s="22"/>
      <c r="D118" s="22"/>
      <c r="E118" s="22"/>
      <c r="F118" s="22"/>
      <c r="G118" s="22"/>
      <c r="H118" s="21"/>
      <c r="I118" s="24">
        <v>30000</v>
      </c>
      <c r="J118" s="24"/>
      <c r="K118" s="24"/>
      <c r="L118" s="22"/>
    </row>
    <row r="119" spans="1:12" x14ac:dyDescent="0.25">
      <c r="B119" s="7" t="s">
        <v>3632</v>
      </c>
      <c r="C119" s="22"/>
      <c r="D119" s="22"/>
      <c r="E119" s="22"/>
      <c r="F119" s="22"/>
      <c r="G119" s="22"/>
      <c r="H119" s="21"/>
      <c r="I119" s="24">
        <v>5000</v>
      </c>
      <c r="J119" s="24"/>
      <c r="K119" s="24"/>
      <c r="L119" s="22"/>
    </row>
    <row r="120" spans="1:12" x14ac:dyDescent="0.25">
      <c r="A120" t="s">
        <v>1071</v>
      </c>
      <c r="B120" s="7" t="s">
        <v>1072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1">
        <v>0</v>
      </c>
      <c r="I120" s="22"/>
      <c r="J120" s="24"/>
      <c r="K120" s="21">
        <v>0</v>
      </c>
      <c r="L120" s="22">
        <f t="shared" si="4"/>
        <v>0</v>
      </c>
    </row>
    <row r="121" spans="1:12" x14ac:dyDescent="0.25">
      <c r="A121" t="s">
        <v>1073</v>
      </c>
      <c r="B121" s="7" t="s">
        <v>496</v>
      </c>
      <c r="C121" s="22">
        <v>38100</v>
      </c>
      <c r="D121" s="22">
        <v>47142</v>
      </c>
      <c r="E121" s="22">
        <v>55065</v>
      </c>
      <c r="F121" s="22">
        <v>52500</v>
      </c>
      <c r="G121" s="22">
        <v>37429.19</v>
      </c>
      <c r="H121" s="21">
        <v>42500</v>
      </c>
      <c r="I121" s="22"/>
      <c r="J121" s="24">
        <v>50000</v>
      </c>
      <c r="K121" s="21">
        <v>0</v>
      </c>
      <c r="L121" s="22">
        <f t="shared" si="4"/>
        <v>50000</v>
      </c>
    </row>
    <row r="122" spans="1:12" hidden="1" x14ac:dyDescent="0.25">
      <c r="A122" t="s">
        <v>1074</v>
      </c>
      <c r="B122" s="7" t="s">
        <v>498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1">
        <v>0</v>
      </c>
      <c r="I122" s="22"/>
      <c r="J122" s="21">
        <v>0</v>
      </c>
      <c r="K122" s="21">
        <v>0</v>
      </c>
      <c r="L122" s="22">
        <f t="shared" si="4"/>
        <v>0</v>
      </c>
    </row>
    <row r="123" spans="1:12" hidden="1" x14ac:dyDescent="0.25">
      <c r="A123" t="s">
        <v>1075</v>
      </c>
      <c r="B123" s="7" t="s">
        <v>500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21">
        <v>0</v>
      </c>
      <c r="I123" s="22"/>
      <c r="J123" s="21">
        <v>0</v>
      </c>
      <c r="K123" s="21">
        <v>0</v>
      </c>
      <c r="L123" s="22">
        <f t="shared" si="4"/>
        <v>0</v>
      </c>
    </row>
    <row r="124" spans="1:12" x14ac:dyDescent="0.25">
      <c r="C124" s="22"/>
      <c r="D124" s="22"/>
      <c r="E124" s="22"/>
      <c r="F124" s="22"/>
      <c r="G124" s="22"/>
      <c r="H124" s="21"/>
      <c r="I124" s="22"/>
      <c r="J124" s="21"/>
      <c r="K124" s="21"/>
      <c r="L124" s="22"/>
    </row>
    <row r="125" spans="1:12" x14ac:dyDescent="0.25">
      <c r="C125" s="22"/>
      <c r="D125" s="22"/>
      <c r="E125" s="22"/>
      <c r="F125" s="22"/>
      <c r="G125" s="22"/>
      <c r="H125" s="21"/>
      <c r="I125" s="22"/>
      <c r="J125" s="21"/>
      <c r="K125" s="21"/>
      <c r="L125" s="22"/>
    </row>
    <row r="126" spans="1:12" x14ac:dyDescent="0.25">
      <c r="A126" t="s">
        <v>109</v>
      </c>
      <c r="C126" s="22"/>
      <c r="D126" s="22"/>
      <c r="E126" s="22"/>
      <c r="F126" s="22"/>
      <c r="G126" s="22"/>
      <c r="H126" s="21"/>
      <c r="I126" s="22"/>
      <c r="J126" s="21"/>
      <c r="K126" s="21"/>
      <c r="L126" s="22"/>
    </row>
    <row r="127" spans="1:12" x14ac:dyDescent="0.25">
      <c r="B127" t="s">
        <v>489</v>
      </c>
      <c r="C127" s="20">
        <f t="shared" ref="C127:H127" si="5">SUM(C107:C123)</f>
        <v>77663</v>
      </c>
      <c r="D127" s="20">
        <f t="shared" si="5"/>
        <v>116501</v>
      </c>
      <c r="E127" s="20">
        <f t="shared" si="5"/>
        <v>119458</v>
      </c>
      <c r="F127" s="20">
        <f t="shared" si="5"/>
        <v>133000</v>
      </c>
      <c r="G127" s="20">
        <f t="shared" si="5"/>
        <v>83370.570000000007</v>
      </c>
      <c r="H127" s="20">
        <f t="shared" si="5"/>
        <v>116700</v>
      </c>
      <c r="I127" s="20"/>
      <c r="J127" s="20">
        <f>SUM(J107:J123)</f>
        <v>104000</v>
      </c>
      <c r="K127" s="20">
        <f>SUM(K107:K123)</f>
        <v>0</v>
      </c>
      <c r="L127" s="20">
        <f>SUM(L107:L123)</f>
        <v>104000</v>
      </c>
    </row>
    <row r="128" spans="1:12" x14ac:dyDescent="0.25">
      <c r="C128" s="22"/>
      <c r="D128" s="22"/>
      <c r="E128" s="22"/>
      <c r="F128" s="22"/>
      <c r="G128" s="22"/>
      <c r="H128" s="21"/>
      <c r="I128" s="22"/>
      <c r="J128" s="21"/>
      <c r="K128" s="21"/>
      <c r="L128" s="22"/>
    </row>
    <row r="129" spans="1:12" x14ac:dyDescent="0.25">
      <c r="A129" t="s">
        <v>501</v>
      </c>
      <c r="C129" s="22"/>
      <c r="D129" s="22"/>
      <c r="E129" s="22"/>
      <c r="F129" s="22"/>
      <c r="G129" s="22"/>
      <c r="H129" s="21"/>
      <c r="I129" s="22"/>
      <c r="J129" s="21"/>
      <c r="K129" s="21"/>
      <c r="L129" s="22"/>
    </row>
    <row r="130" spans="1:12" x14ac:dyDescent="0.25">
      <c r="A130" t="s">
        <v>18</v>
      </c>
      <c r="C130" s="22"/>
      <c r="D130" s="22"/>
      <c r="E130" s="22"/>
      <c r="F130" s="22"/>
      <c r="G130" s="22"/>
      <c r="H130" s="21"/>
      <c r="I130" s="22"/>
      <c r="J130" s="21"/>
      <c r="K130" s="21"/>
      <c r="L130" s="22"/>
    </row>
    <row r="131" spans="1:12" x14ac:dyDescent="0.25">
      <c r="A131" t="s">
        <v>1076</v>
      </c>
      <c r="B131" s="7" t="s">
        <v>503</v>
      </c>
      <c r="C131" s="22">
        <v>99415</v>
      </c>
      <c r="D131" s="22">
        <v>9073</v>
      </c>
      <c r="E131" s="22">
        <v>16574</v>
      </c>
      <c r="F131" s="22">
        <v>26242</v>
      </c>
      <c r="G131" s="22">
        <v>32967.9</v>
      </c>
      <c r="H131" s="21">
        <v>33250</v>
      </c>
      <c r="I131" s="22"/>
      <c r="J131" s="24">
        <v>23601.279999999999</v>
      </c>
      <c r="K131" s="21">
        <v>0</v>
      </c>
      <c r="L131" s="22">
        <f t="shared" ref="L131:L147" si="6">SUM(J131+K131)</f>
        <v>23601.279999999999</v>
      </c>
    </row>
    <row r="132" spans="1:12" x14ac:dyDescent="0.25">
      <c r="B132" s="7" t="s">
        <v>3633</v>
      </c>
      <c r="C132" s="22"/>
      <c r="D132" s="22"/>
      <c r="E132" s="22"/>
      <c r="F132" s="22"/>
      <c r="G132" s="22"/>
      <c r="H132" s="21"/>
      <c r="I132" s="24">
        <v>14727.18</v>
      </c>
      <c r="J132" s="24"/>
      <c r="K132" s="24"/>
      <c r="L132" s="22"/>
    </row>
    <row r="133" spans="1:12" x14ac:dyDescent="0.25">
      <c r="B133" s="7" t="s">
        <v>3634</v>
      </c>
      <c r="C133" s="22"/>
      <c r="D133" s="22"/>
      <c r="E133" s="22"/>
      <c r="F133" s="22"/>
      <c r="G133" s="22"/>
      <c r="H133" s="21"/>
      <c r="I133" s="24">
        <v>3187</v>
      </c>
      <c r="J133" s="24"/>
      <c r="K133" s="24"/>
      <c r="L133" s="22"/>
    </row>
    <row r="134" spans="1:12" x14ac:dyDescent="0.25">
      <c r="B134" s="7" t="s">
        <v>3635</v>
      </c>
      <c r="C134" s="22"/>
      <c r="D134" s="22"/>
      <c r="E134" s="22"/>
      <c r="F134" s="22"/>
      <c r="G134" s="22"/>
      <c r="H134" s="21"/>
      <c r="I134" s="24">
        <v>5687.1</v>
      </c>
      <c r="J134" s="24"/>
      <c r="K134" s="24"/>
      <c r="L134" s="22"/>
    </row>
    <row r="135" spans="1:12" x14ac:dyDescent="0.25">
      <c r="A135" t="s">
        <v>1077</v>
      </c>
      <c r="B135" s="7" t="s">
        <v>507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1">
        <v>0</v>
      </c>
      <c r="I135" s="22"/>
      <c r="J135" s="24">
        <v>0</v>
      </c>
      <c r="K135" s="21">
        <v>0</v>
      </c>
      <c r="L135" s="22">
        <f t="shared" si="6"/>
        <v>0</v>
      </c>
    </row>
    <row r="136" spans="1:12" x14ac:dyDescent="0.25">
      <c r="A136" t="s">
        <v>1078</v>
      </c>
      <c r="B136" s="7" t="s">
        <v>1079</v>
      </c>
      <c r="C136" s="22">
        <v>900</v>
      </c>
      <c r="D136" s="22">
        <v>0</v>
      </c>
      <c r="E136" s="22">
        <v>0</v>
      </c>
      <c r="F136" s="22">
        <v>900</v>
      </c>
      <c r="G136" s="22">
        <v>0</v>
      </c>
      <c r="H136" s="21">
        <v>0</v>
      </c>
      <c r="I136" s="22"/>
      <c r="J136" s="24">
        <v>0</v>
      </c>
      <c r="K136" s="21">
        <v>0</v>
      </c>
      <c r="L136" s="22">
        <f t="shared" si="6"/>
        <v>0</v>
      </c>
    </row>
    <row r="137" spans="1:12" x14ac:dyDescent="0.25">
      <c r="A137" t="s">
        <v>1080</v>
      </c>
      <c r="B137" s="7" t="s">
        <v>1081</v>
      </c>
      <c r="C137" s="22">
        <v>0</v>
      </c>
      <c r="D137" s="22">
        <v>17192</v>
      </c>
      <c r="E137" s="22">
        <v>17845</v>
      </c>
      <c r="F137" s="22">
        <v>62500</v>
      </c>
      <c r="G137" s="22">
        <v>1293.46</v>
      </c>
      <c r="H137" s="21">
        <v>36793</v>
      </c>
      <c r="I137" s="22"/>
      <c r="J137" s="24">
        <v>35500</v>
      </c>
      <c r="K137" s="21">
        <v>0</v>
      </c>
      <c r="L137" s="22">
        <f t="shared" si="6"/>
        <v>35500</v>
      </c>
    </row>
    <row r="138" spans="1:12" x14ac:dyDescent="0.25">
      <c r="B138" s="7" t="s">
        <v>3636</v>
      </c>
      <c r="C138" s="22"/>
      <c r="D138" s="22"/>
      <c r="E138" s="22"/>
      <c r="F138" s="22"/>
      <c r="G138" s="22"/>
      <c r="H138" s="21"/>
      <c r="I138" s="24">
        <v>35500</v>
      </c>
      <c r="J138" s="24"/>
      <c r="K138" s="24"/>
      <c r="L138" s="22"/>
    </row>
    <row r="139" spans="1:12" x14ac:dyDescent="0.25">
      <c r="A139" t="s">
        <v>1082</v>
      </c>
      <c r="B139" s="7" t="s">
        <v>509</v>
      </c>
      <c r="C139" s="22">
        <v>40156</v>
      </c>
      <c r="D139" s="22">
        <v>74802</v>
      </c>
      <c r="E139" s="22">
        <v>73829</v>
      </c>
      <c r="F139" s="22">
        <v>98633</v>
      </c>
      <c r="G139" s="22">
        <v>87413.95</v>
      </c>
      <c r="H139" s="21">
        <v>98633</v>
      </c>
      <c r="I139" s="22"/>
      <c r="J139" s="24">
        <v>123860</v>
      </c>
      <c r="K139" s="21">
        <v>0</v>
      </c>
      <c r="L139" s="22">
        <f t="shared" si="6"/>
        <v>123860</v>
      </c>
    </row>
    <row r="140" spans="1:12" x14ac:dyDescent="0.25">
      <c r="B140" s="7" t="s">
        <v>3637</v>
      </c>
      <c r="C140" s="22"/>
      <c r="D140" s="22"/>
      <c r="E140" s="22"/>
      <c r="F140" s="22"/>
      <c r="G140" s="22"/>
      <c r="H140" s="21"/>
      <c r="I140" s="24">
        <v>8520</v>
      </c>
      <c r="J140" s="24"/>
      <c r="K140" s="24"/>
      <c r="L140" s="22"/>
    </row>
    <row r="141" spans="1:12" x14ac:dyDescent="0.25">
      <c r="B141" s="7" t="s">
        <v>3638</v>
      </c>
      <c r="C141" s="22"/>
      <c r="D141" s="22"/>
      <c r="E141" s="22"/>
      <c r="F141" s="22"/>
      <c r="G141" s="22"/>
      <c r="H141" s="21"/>
      <c r="I141" s="24">
        <v>4800</v>
      </c>
      <c r="J141" s="24"/>
      <c r="K141" s="24"/>
      <c r="L141" s="22"/>
    </row>
    <row r="142" spans="1:12" x14ac:dyDescent="0.25">
      <c r="B142" s="7" t="s">
        <v>3639</v>
      </c>
      <c r="C142" s="22"/>
      <c r="D142" s="22"/>
      <c r="E142" s="22"/>
      <c r="F142" s="22"/>
      <c r="G142" s="22"/>
      <c r="H142" s="21"/>
      <c r="I142" s="24">
        <v>2000</v>
      </c>
      <c r="J142" s="24"/>
      <c r="K142" s="24"/>
      <c r="L142" s="22"/>
    </row>
    <row r="143" spans="1:12" x14ac:dyDescent="0.25">
      <c r="B143" s="7" t="s">
        <v>3640</v>
      </c>
      <c r="C143" s="22"/>
      <c r="D143" s="22"/>
      <c r="E143" s="22"/>
      <c r="F143" s="22"/>
      <c r="G143" s="22"/>
      <c r="H143" s="21"/>
      <c r="I143" s="24">
        <v>103140.06</v>
      </c>
      <c r="J143" s="24"/>
      <c r="K143" s="24"/>
      <c r="L143" s="22"/>
    </row>
    <row r="144" spans="1:12" x14ac:dyDescent="0.25">
      <c r="B144" s="7" t="s">
        <v>3641</v>
      </c>
      <c r="C144" s="22"/>
      <c r="D144" s="22"/>
      <c r="E144" s="22"/>
      <c r="F144" s="22"/>
      <c r="G144" s="22"/>
      <c r="H144" s="21"/>
      <c r="I144" s="24">
        <v>5400</v>
      </c>
      <c r="J144" s="24"/>
      <c r="K144" s="24"/>
      <c r="L144" s="22"/>
    </row>
    <row r="145" spans="1:12" x14ac:dyDescent="0.25">
      <c r="A145" t="s">
        <v>1083</v>
      </c>
      <c r="B145" s="7" t="s">
        <v>521</v>
      </c>
      <c r="C145" s="22">
        <v>0</v>
      </c>
      <c r="D145" s="22">
        <v>0</v>
      </c>
      <c r="E145" s="22">
        <v>6977</v>
      </c>
      <c r="F145" s="22">
        <v>137252</v>
      </c>
      <c r="G145" s="22">
        <v>0</v>
      </c>
      <c r="H145" s="21">
        <v>0</v>
      </c>
      <c r="I145" s="22"/>
      <c r="J145" s="24">
        <v>137252</v>
      </c>
      <c r="K145" s="21">
        <v>0</v>
      </c>
      <c r="L145" s="22">
        <f t="shared" si="6"/>
        <v>137252</v>
      </c>
    </row>
    <row r="146" spans="1:12" x14ac:dyDescent="0.25">
      <c r="B146" s="7" t="s">
        <v>3642</v>
      </c>
      <c r="C146" s="22"/>
      <c r="D146" s="22"/>
      <c r="E146" s="22"/>
      <c r="F146" s="22"/>
      <c r="G146" s="22"/>
      <c r="H146" s="21"/>
      <c r="I146" s="24">
        <v>137252</v>
      </c>
      <c r="J146" s="24"/>
      <c r="K146" s="24"/>
      <c r="L146" s="22"/>
    </row>
    <row r="147" spans="1:12" x14ac:dyDescent="0.25">
      <c r="A147" t="s">
        <v>1084</v>
      </c>
      <c r="B147" s="7" t="s">
        <v>1085</v>
      </c>
      <c r="C147" s="22">
        <v>115</v>
      </c>
      <c r="D147" s="22">
        <v>75</v>
      </c>
      <c r="E147" s="22">
        <v>0</v>
      </c>
      <c r="F147" s="22">
        <v>0</v>
      </c>
      <c r="G147" s="22">
        <v>0</v>
      </c>
      <c r="H147" s="21">
        <v>0</v>
      </c>
      <c r="I147" s="22"/>
      <c r="J147" s="21">
        <v>0</v>
      </c>
      <c r="K147" s="21">
        <v>0</v>
      </c>
      <c r="L147" s="22">
        <f t="shared" si="6"/>
        <v>0</v>
      </c>
    </row>
    <row r="148" spans="1:12" x14ac:dyDescent="0.25">
      <c r="C148" s="22"/>
      <c r="D148" s="22"/>
      <c r="E148" s="22"/>
      <c r="F148" s="22"/>
      <c r="G148" s="22"/>
      <c r="H148" s="21"/>
      <c r="I148" s="22"/>
      <c r="J148" s="21"/>
      <c r="K148" s="21"/>
      <c r="L148" s="22"/>
    </row>
    <row r="149" spans="1:12" x14ac:dyDescent="0.25">
      <c r="C149" s="22"/>
      <c r="D149" s="22"/>
      <c r="E149" s="22"/>
      <c r="F149" s="22"/>
      <c r="G149" s="22"/>
      <c r="H149" s="21"/>
      <c r="I149" s="22"/>
      <c r="J149" s="21"/>
      <c r="K149" s="21"/>
      <c r="L149" s="22"/>
    </row>
    <row r="150" spans="1:12" x14ac:dyDescent="0.25">
      <c r="A150" t="s">
        <v>109</v>
      </c>
      <c r="C150" s="22"/>
      <c r="D150" s="22"/>
      <c r="E150" s="22"/>
      <c r="F150" s="22"/>
      <c r="G150" s="22"/>
      <c r="H150" s="21"/>
      <c r="I150" s="22"/>
      <c r="J150" s="21"/>
      <c r="K150" s="21"/>
      <c r="L150" s="22"/>
    </row>
    <row r="151" spans="1:12" x14ac:dyDescent="0.25">
      <c r="B151" t="s">
        <v>501</v>
      </c>
      <c r="C151" s="20">
        <f t="shared" ref="C151:H151" si="7">SUM(C131:C147)</f>
        <v>140586</v>
      </c>
      <c r="D151" s="20">
        <f t="shared" si="7"/>
        <v>101142</v>
      </c>
      <c r="E151" s="20">
        <f t="shared" si="7"/>
        <v>115225</v>
      </c>
      <c r="F151" s="20">
        <f t="shared" si="7"/>
        <v>325527</v>
      </c>
      <c r="G151" s="20">
        <f t="shared" si="7"/>
        <v>121675.31</v>
      </c>
      <c r="H151" s="20">
        <f t="shared" si="7"/>
        <v>168676</v>
      </c>
      <c r="I151" s="20"/>
      <c r="J151" s="20">
        <f>SUM(J131:J147)</f>
        <v>320213.28000000003</v>
      </c>
      <c r="K151" s="20">
        <f>SUM(K131:K147)</f>
        <v>0</v>
      </c>
      <c r="L151" s="20">
        <f>SUM(L131:L147)</f>
        <v>320213.28000000003</v>
      </c>
    </row>
    <row r="152" spans="1:12" x14ac:dyDescent="0.25">
      <c r="C152" s="22"/>
      <c r="D152" s="22"/>
      <c r="E152" s="22"/>
      <c r="F152" s="22"/>
      <c r="G152" s="22"/>
      <c r="H152" s="21"/>
      <c r="I152" s="22"/>
      <c r="J152" s="21"/>
      <c r="K152" s="21"/>
      <c r="L152" s="22"/>
    </row>
    <row r="153" spans="1:12" x14ac:dyDescent="0.25">
      <c r="A153" t="s">
        <v>530</v>
      </c>
      <c r="C153" s="22"/>
      <c r="D153" s="22"/>
      <c r="E153" s="22"/>
      <c r="F153" s="22"/>
      <c r="G153" s="22"/>
      <c r="H153" s="21"/>
      <c r="I153" s="22"/>
      <c r="J153" s="21"/>
      <c r="K153" s="21"/>
      <c r="L153" s="22"/>
    </row>
    <row r="154" spans="1:12" x14ac:dyDescent="0.25">
      <c r="A154" t="s">
        <v>18</v>
      </c>
      <c r="B154" s="7" t="s">
        <v>526</v>
      </c>
      <c r="C154" s="22"/>
      <c r="D154" s="22"/>
      <c r="E154" s="22"/>
      <c r="F154" s="22"/>
      <c r="G154" s="22"/>
      <c r="H154" s="21"/>
      <c r="I154" s="22"/>
      <c r="J154" s="21"/>
      <c r="K154" s="21"/>
      <c r="L154" s="22"/>
    </row>
    <row r="155" spans="1:12" x14ac:dyDescent="0.25">
      <c r="A155" t="s">
        <v>1086</v>
      </c>
      <c r="B155" s="7" t="s">
        <v>530</v>
      </c>
      <c r="C155" s="22">
        <v>0</v>
      </c>
      <c r="D155" s="22">
        <v>23986</v>
      </c>
      <c r="E155" s="22">
        <v>0</v>
      </c>
      <c r="F155" s="22">
        <v>0</v>
      </c>
      <c r="G155" s="22">
        <v>0</v>
      </c>
      <c r="H155" s="21">
        <v>0</v>
      </c>
      <c r="I155" s="22"/>
      <c r="J155" s="21">
        <v>0</v>
      </c>
      <c r="K155" s="21">
        <v>0</v>
      </c>
      <c r="L155" s="22">
        <f t="shared" ref="L155:L160" si="8">SUM(J155+K155)</f>
        <v>0</v>
      </c>
    </row>
    <row r="156" spans="1:12" x14ac:dyDescent="0.25">
      <c r="A156" t="s">
        <v>1087</v>
      </c>
      <c r="B156" s="7" t="s">
        <v>534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1">
        <v>0</v>
      </c>
      <c r="I156" s="22"/>
      <c r="J156" s="21">
        <v>0</v>
      </c>
      <c r="K156" s="21">
        <v>0</v>
      </c>
      <c r="L156" s="22">
        <f t="shared" si="8"/>
        <v>0</v>
      </c>
    </row>
    <row r="157" spans="1:12" x14ac:dyDescent="0.25">
      <c r="A157" t="s">
        <v>1088</v>
      </c>
      <c r="B157" s="7" t="s">
        <v>1089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1">
        <v>0</v>
      </c>
      <c r="I157" s="22"/>
      <c r="J157" s="21">
        <v>0</v>
      </c>
      <c r="K157" s="21">
        <v>0</v>
      </c>
      <c r="L157" s="22">
        <f t="shared" si="8"/>
        <v>0</v>
      </c>
    </row>
    <row r="158" spans="1:12" hidden="1" x14ac:dyDescent="0.25">
      <c r="A158" t="s">
        <v>1090</v>
      </c>
      <c r="B158" s="7" t="s">
        <v>1091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1">
        <v>0</v>
      </c>
      <c r="I158" s="22"/>
      <c r="J158" s="21">
        <v>0</v>
      </c>
      <c r="K158" s="21">
        <v>0</v>
      </c>
      <c r="L158" s="22">
        <f t="shared" si="8"/>
        <v>0</v>
      </c>
    </row>
    <row r="159" spans="1:12" x14ac:dyDescent="0.25">
      <c r="A159" t="s">
        <v>1092</v>
      </c>
      <c r="B159" s="7" t="s">
        <v>1093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1">
        <v>0</v>
      </c>
      <c r="I159" s="22"/>
      <c r="J159" s="21">
        <v>0</v>
      </c>
      <c r="K159" s="21">
        <v>0</v>
      </c>
      <c r="L159" s="22">
        <f t="shared" si="8"/>
        <v>0</v>
      </c>
    </row>
    <row r="160" spans="1:12" x14ac:dyDescent="0.25">
      <c r="A160" t="s">
        <v>1094</v>
      </c>
      <c r="B160" s="7" t="s">
        <v>660</v>
      </c>
      <c r="C160" s="22">
        <v>105285</v>
      </c>
      <c r="D160" s="22">
        <v>228360</v>
      </c>
      <c r="E160" s="22">
        <v>50335</v>
      </c>
      <c r="F160" s="22">
        <v>120000</v>
      </c>
      <c r="G160" s="22">
        <v>25691.41</v>
      </c>
      <c r="H160" s="21">
        <v>37000</v>
      </c>
      <c r="I160" s="22"/>
      <c r="J160" s="21">
        <v>110000</v>
      </c>
      <c r="K160" s="21">
        <v>60000</v>
      </c>
      <c r="L160" s="22">
        <f t="shared" si="8"/>
        <v>170000</v>
      </c>
    </row>
    <row r="161" spans="1:12" x14ac:dyDescent="0.25">
      <c r="B161" s="7" t="s">
        <v>3643</v>
      </c>
      <c r="C161" s="22"/>
      <c r="D161" s="22"/>
      <c r="E161" s="22"/>
      <c r="F161" s="22"/>
      <c r="G161" s="22"/>
      <c r="H161" s="21"/>
      <c r="I161" s="24">
        <v>110000</v>
      </c>
      <c r="J161" s="24"/>
      <c r="K161" s="24"/>
      <c r="L161" s="22"/>
    </row>
    <row r="162" spans="1:12" x14ac:dyDescent="0.25">
      <c r="B162" s="7" t="s">
        <v>3644</v>
      </c>
      <c r="C162" s="22"/>
      <c r="D162" s="22"/>
      <c r="E162" s="22"/>
      <c r="F162" s="22"/>
      <c r="G162" s="22"/>
      <c r="H162" s="21"/>
      <c r="I162" s="24">
        <v>60000</v>
      </c>
      <c r="J162" s="24"/>
      <c r="K162" s="24"/>
      <c r="L162" s="22"/>
    </row>
    <row r="163" spans="1:12" x14ac:dyDescent="0.25">
      <c r="C163" s="22"/>
      <c r="D163" s="22"/>
      <c r="E163" s="22"/>
      <c r="F163" s="22"/>
      <c r="G163" s="22"/>
      <c r="H163" s="21"/>
      <c r="I163" s="22"/>
      <c r="J163" s="21"/>
      <c r="K163" s="21"/>
      <c r="L163" s="22"/>
    </row>
    <row r="164" spans="1:12" x14ac:dyDescent="0.25">
      <c r="C164" s="22"/>
      <c r="D164" s="22"/>
      <c r="E164" s="22"/>
      <c r="F164" s="22"/>
      <c r="G164" s="22"/>
      <c r="H164" s="21"/>
      <c r="I164" s="22"/>
      <c r="J164" s="21"/>
      <c r="K164" s="21"/>
      <c r="L164" s="22"/>
    </row>
    <row r="165" spans="1:12" x14ac:dyDescent="0.25">
      <c r="A165" t="s">
        <v>109</v>
      </c>
      <c r="C165" s="22"/>
      <c r="D165" s="22"/>
      <c r="E165" s="22"/>
      <c r="F165" s="22"/>
      <c r="G165" s="22"/>
      <c r="H165" s="21"/>
      <c r="I165" s="22"/>
      <c r="J165" s="21"/>
      <c r="K165" s="21"/>
      <c r="L165" s="22"/>
    </row>
    <row r="166" spans="1:12" x14ac:dyDescent="0.25">
      <c r="B166" t="s">
        <v>530</v>
      </c>
      <c r="C166" s="20">
        <f t="shared" ref="C166:H166" si="9">SUM(C155:C160)</f>
        <v>105285</v>
      </c>
      <c r="D166" s="20">
        <f t="shared" si="9"/>
        <v>252346</v>
      </c>
      <c r="E166" s="20">
        <f t="shared" si="9"/>
        <v>50335</v>
      </c>
      <c r="F166" s="20">
        <f t="shared" si="9"/>
        <v>120000</v>
      </c>
      <c r="G166" s="20">
        <f t="shared" si="9"/>
        <v>25691.41</v>
      </c>
      <c r="H166" s="20">
        <f t="shared" si="9"/>
        <v>37000</v>
      </c>
      <c r="I166" s="20"/>
      <c r="J166" s="20">
        <f>SUM(J155:J160)</f>
        <v>110000</v>
      </c>
      <c r="K166" s="20">
        <f>SUM(K155:K160)</f>
        <v>60000</v>
      </c>
      <c r="L166" s="20">
        <f>SUM(L155:L160)</f>
        <v>170000</v>
      </c>
    </row>
    <row r="167" spans="1:12" x14ac:dyDescent="0.25">
      <c r="C167" s="22"/>
      <c r="D167" s="22"/>
      <c r="E167" s="22"/>
      <c r="F167" s="22"/>
      <c r="G167" s="22"/>
      <c r="H167" s="21"/>
      <c r="I167" s="22"/>
      <c r="J167" s="21"/>
      <c r="K167" s="21"/>
      <c r="L167" s="22"/>
    </row>
    <row r="169" spans="1:12" x14ac:dyDescent="0.25">
      <c r="A169" t="s">
        <v>109</v>
      </c>
    </row>
    <row r="170" spans="1:12" x14ac:dyDescent="0.25">
      <c r="A170">
        <v>20</v>
      </c>
      <c r="B170" t="s">
        <v>3645</v>
      </c>
      <c r="C170" s="10">
        <f t="shared" ref="C170:H170" si="10">C48+C103+C127+C151+C166</f>
        <v>2206657</v>
      </c>
      <c r="D170" s="10">
        <f t="shared" si="10"/>
        <v>2833629</v>
      </c>
      <c r="E170" s="10">
        <f t="shared" si="10"/>
        <v>3028028</v>
      </c>
      <c r="F170" s="10">
        <f t="shared" si="10"/>
        <v>3755883</v>
      </c>
      <c r="G170" s="10">
        <f t="shared" si="10"/>
        <v>2734794.5</v>
      </c>
      <c r="H170" s="10">
        <f t="shared" si="10"/>
        <v>3145090</v>
      </c>
      <c r="I170" s="10"/>
      <c r="J170" s="10">
        <f>J48+J103+J127+J151+J166</f>
        <v>3456088.7690000003</v>
      </c>
      <c r="K170" s="10">
        <f>K48+K103+K127+K151+K166</f>
        <v>206702.76</v>
      </c>
      <c r="L170" s="10">
        <f>L48+L103+L127+L151+L166</f>
        <v>3662791.5290000001</v>
      </c>
    </row>
  </sheetData>
  <sheetProtection algorithmName="SHA-512" hashValue="2UArDBzxWgEj721B4NGn3TEHWFgeZuib0asrWv+N7sigwgdsfxg7tJs4Og4TkUfN1M8k6jII4bHQXxHmodVMZA==" saltValue="sapDGL4sFrVjnkwQFV4h3A==" spinCount="100000" sheet="1" objects="1" scenarios="1" insertRows="0"/>
  <pageMargins left="0.25" right="0.25" top="0.75" bottom="0.75" header="0.3" footer="0.3"/>
  <pageSetup scale="7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CDE83-B808-4540-892E-1DE536896440}">
  <sheetPr>
    <pageSetUpPr fitToPage="1"/>
  </sheetPr>
  <dimension ref="A1:L101"/>
  <sheetViews>
    <sheetView zoomScaleNormal="100" workbookViewId="0">
      <pane ySplit="8" topLeftCell="A9" activePane="bottomLeft" state="frozen"/>
      <selection pane="bottomLeft" activeCell="H82" sqref="H82"/>
    </sheetView>
  </sheetViews>
  <sheetFormatPr defaultRowHeight="15" x14ac:dyDescent="0.25"/>
  <cols>
    <col min="2" max="2" width="32.5703125" style="7" bestFit="1" customWidth="1"/>
    <col min="3" max="3" width="13.140625" style="12" bestFit="1" customWidth="1"/>
    <col min="4" max="4" width="14.85546875" style="12" bestFit="1" customWidth="1"/>
    <col min="5" max="5" width="13.85546875" style="12" bestFit="1" customWidth="1"/>
    <col min="6" max="6" width="14" style="12" bestFit="1" customWidth="1"/>
    <col min="7" max="7" width="12.7109375" style="12" bestFit="1" customWidth="1"/>
    <col min="8" max="8" width="13.140625" style="11" bestFit="1" customWidth="1"/>
    <col min="9" max="9" width="10.7109375" style="11" customWidth="1"/>
    <col min="10" max="10" width="13.140625" style="11" bestFit="1" customWidth="1"/>
    <col min="11" max="11" width="14.5703125" style="11" bestFit="1" customWidth="1"/>
    <col min="12" max="12" width="14" style="12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3646</v>
      </c>
    </row>
    <row r="11" spans="1:12" x14ac:dyDescent="0.25">
      <c r="A11" t="s">
        <v>441</v>
      </c>
    </row>
    <row r="12" spans="1:12" x14ac:dyDescent="0.25">
      <c r="A12" t="s">
        <v>18</v>
      </c>
      <c r="B12" s="7" t="s">
        <v>228</v>
      </c>
    </row>
    <row r="13" spans="1:12" x14ac:dyDescent="0.25">
      <c r="A13" t="s">
        <v>1098</v>
      </c>
      <c r="B13" s="7" t="s">
        <v>569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1099</v>
      </c>
      <c r="B14" s="7" t="s">
        <v>396</v>
      </c>
      <c r="C14" s="22">
        <v>0</v>
      </c>
      <c r="D14" s="22">
        <v>0</v>
      </c>
      <c r="E14" s="22">
        <v>0</v>
      </c>
      <c r="F14" s="22">
        <v>504</v>
      </c>
      <c r="G14" s="22">
        <v>126</v>
      </c>
      <c r="H14" s="21">
        <v>126</v>
      </c>
      <c r="I14" s="21"/>
      <c r="J14" s="21">
        <v>126</v>
      </c>
      <c r="K14" s="21">
        <v>0</v>
      </c>
      <c r="L14" s="22">
        <f t="shared" ref="L14:L30" si="0">SUM(J14+K14)</f>
        <v>126</v>
      </c>
    </row>
    <row r="15" spans="1:12" x14ac:dyDescent="0.25">
      <c r="A15" t="s">
        <v>1100</v>
      </c>
      <c r="B15" s="7" t="s">
        <v>398</v>
      </c>
      <c r="C15" s="22">
        <v>0</v>
      </c>
      <c r="D15" s="22">
        <v>0</v>
      </c>
      <c r="E15" s="22">
        <v>0</v>
      </c>
      <c r="F15" s="22">
        <v>8696</v>
      </c>
      <c r="G15" s="22">
        <v>6916.16</v>
      </c>
      <c r="H15" s="21">
        <v>7915</v>
      </c>
      <c r="I15" s="21"/>
      <c r="J15" s="21">
        <v>8646.8700000000008</v>
      </c>
      <c r="K15" s="21">
        <v>0</v>
      </c>
      <c r="L15" s="22">
        <f t="shared" si="0"/>
        <v>8646.8700000000008</v>
      </c>
    </row>
    <row r="16" spans="1:12" x14ac:dyDescent="0.25">
      <c r="A16" t="s">
        <v>1101</v>
      </c>
      <c r="B16" s="7" t="s">
        <v>400</v>
      </c>
      <c r="C16" s="22">
        <v>0</v>
      </c>
      <c r="D16" s="22">
        <v>0</v>
      </c>
      <c r="E16" s="22">
        <v>0</v>
      </c>
      <c r="F16" s="22">
        <v>10788</v>
      </c>
      <c r="G16" s="22">
        <v>6907.36</v>
      </c>
      <c r="H16" s="21">
        <v>8250</v>
      </c>
      <c r="I16" s="21"/>
      <c r="J16" s="21">
        <f>2570.87+7691.69</f>
        <v>10262.56</v>
      </c>
      <c r="K16" s="21">
        <v>0</v>
      </c>
      <c r="L16" s="22">
        <f t="shared" si="0"/>
        <v>10262.56</v>
      </c>
    </row>
    <row r="17" spans="1:12" x14ac:dyDescent="0.25">
      <c r="A17" t="s">
        <v>1102</v>
      </c>
      <c r="B17" s="7" t="s">
        <v>574</v>
      </c>
      <c r="C17" s="22">
        <v>0</v>
      </c>
      <c r="D17" s="22">
        <v>0</v>
      </c>
      <c r="E17" s="22">
        <v>0</v>
      </c>
      <c r="F17" s="22">
        <v>41144</v>
      </c>
      <c r="G17" s="22">
        <v>14330.19</v>
      </c>
      <c r="H17" s="21">
        <v>15900</v>
      </c>
      <c r="I17" s="21"/>
      <c r="J17" s="21">
        <v>16141.44</v>
      </c>
      <c r="K17" s="21">
        <v>0</v>
      </c>
      <c r="L17" s="22">
        <f t="shared" si="0"/>
        <v>16141.44</v>
      </c>
    </row>
    <row r="18" spans="1:12" x14ac:dyDescent="0.25">
      <c r="A18" t="s">
        <v>1103</v>
      </c>
      <c r="B18" s="7" t="s">
        <v>404</v>
      </c>
      <c r="C18" s="22">
        <v>0</v>
      </c>
      <c r="D18" s="22">
        <v>0</v>
      </c>
      <c r="E18" s="22">
        <v>0</v>
      </c>
      <c r="F18" s="22">
        <v>1308</v>
      </c>
      <c r="G18" s="22">
        <v>918.65</v>
      </c>
      <c r="H18" s="21">
        <v>1020</v>
      </c>
      <c r="I18" s="21"/>
      <c r="J18" s="21">
        <v>1440</v>
      </c>
      <c r="K18" s="21">
        <v>0</v>
      </c>
      <c r="L18" s="22">
        <f t="shared" si="0"/>
        <v>1440</v>
      </c>
    </row>
    <row r="19" spans="1:12" x14ac:dyDescent="0.25">
      <c r="A19" t="s">
        <v>1104</v>
      </c>
      <c r="B19" s="7" t="s">
        <v>406</v>
      </c>
      <c r="C19" s="22">
        <v>0</v>
      </c>
      <c r="D19" s="22">
        <v>0</v>
      </c>
      <c r="E19" s="22">
        <v>0</v>
      </c>
      <c r="F19" s="22">
        <v>0</v>
      </c>
      <c r="G19" s="22">
        <v>770.38</v>
      </c>
      <c r="H19" s="21">
        <v>770</v>
      </c>
      <c r="I19" s="21"/>
      <c r="J19" s="21">
        <f>G19*10%+G19</f>
        <v>847.41800000000001</v>
      </c>
      <c r="K19" s="21">
        <v>0</v>
      </c>
      <c r="L19" s="22">
        <f t="shared" si="0"/>
        <v>847.41800000000001</v>
      </c>
    </row>
    <row r="20" spans="1:12" x14ac:dyDescent="0.25">
      <c r="A20" t="s">
        <v>1105</v>
      </c>
      <c r="B20" s="7" t="s">
        <v>424</v>
      </c>
      <c r="C20" s="22">
        <v>0</v>
      </c>
      <c r="D20" s="22">
        <v>0</v>
      </c>
      <c r="E20" s="22">
        <v>0</v>
      </c>
      <c r="F20" s="22">
        <v>69</v>
      </c>
      <c r="G20" s="22">
        <v>103.8</v>
      </c>
      <c r="H20" s="21">
        <v>104</v>
      </c>
      <c r="I20" s="21"/>
      <c r="J20" s="21">
        <v>138.41</v>
      </c>
      <c r="K20" s="21">
        <v>0</v>
      </c>
      <c r="L20" s="22">
        <f t="shared" si="0"/>
        <v>138.41</v>
      </c>
    </row>
    <row r="21" spans="1:12" x14ac:dyDescent="0.25">
      <c r="A21" t="s">
        <v>1106</v>
      </c>
      <c r="B21" s="7" t="s">
        <v>426</v>
      </c>
      <c r="C21" s="22">
        <v>0</v>
      </c>
      <c r="D21" s="22">
        <v>0</v>
      </c>
      <c r="E21" s="22">
        <v>0</v>
      </c>
      <c r="F21" s="22">
        <v>810</v>
      </c>
      <c r="G21" s="22">
        <v>830.44</v>
      </c>
      <c r="H21" s="21">
        <v>830</v>
      </c>
      <c r="I21" s="21"/>
      <c r="J21" s="21">
        <v>809.82</v>
      </c>
      <c r="K21" s="21">
        <v>0</v>
      </c>
      <c r="L21" s="22">
        <f t="shared" si="0"/>
        <v>809.82</v>
      </c>
    </row>
    <row r="22" spans="1:12" x14ac:dyDescent="0.25">
      <c r="A22" t="s">
        <v>1107</v>
      </c>
      <c r="B22" s="7" t="s">
        <v>598</v>
      </c>
      <c r="C22" s="22">
        <v>0</v>
      </c>
      <c r="D22" s="22">
        <v>0</v>
      </c>
      <c r="E22" s="22">
        <v>0</v>
      </c>
      <c r="F22" s="22">
        <v>2200</v>
      </c>
      <c r="G22" s="22">
        <v>1200</v>
      </c>
      <c r="H22" s="21">
        <v>1200</v>
      </c>
      <c r="I22" s="21"/>
      <c r="J22" s="21">
        <v>359.9</v>
      </c>
      <c r="K22" s="21">
        <v>0</v>
      </c>
      <c r="L22" s="22">
        <f t="shared" si="0"/>
        <v>359.9</v>
      </c>
    </row>
    <row r="23" spans="1:12" x14ac:dyDescent="0.25">
      <c r="A23" t="s">
        <v>1108</v>
      </c>
      <c r="B23" s="7" t="s">
        <v>428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1">
        <v>0</v>
      </c>
      <c r="I23" s="21"/>
      <c r="J23" s="21">
        <v>1200</v>
      </c>
      <c r="K23" s="21">
        <v>0</v>
      </c>
      <c r="L23" s="22">
        <f t="shared" si="0"/>
        <v>1200</v>
      </c>
    </row>
    <row r="24" spans="1:12" x14ac:dyDescent="0.25">
      <c r="A24" t="s">
        <v>1109</v>
      </c>
      <c r="B24" s="7" t="s">
        <v>430</v>
      </c>
      <c r="C24" s="22">
        <v>0</v>
      </c>
      <c r="D24" s="22">
        <v>0</v>
      </c>
      <c r="E24" s="22">
        <v>0</v>
      </c>
      <c r="F24" s="22">
        <v>69</v>
      </c>
      <c r="G24" s="22">
        <v>69.2</v>
      </c>
      <c r="H24" s="21">
        <v>69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1110</v>
      </c>
      <c r="B25" s="7" t="s">
        <v>592</v>
      </c>
      <c r="C25" s="22">
        <v>0</v>
      </c>
      <c r="D25" s="22">
        <v>0</v>
      </c>
      <c r="E25" s="22">
        <v>0</v>
      </c>
      <c r="F25" s="22">
        <v>110526</v>
      </c>
      <c r="G25" s="22">
        <v>87850</v>
      </c>
      <c r="H25" s="21">
        <v>99850</v>
      </c>
      <c r="I25" s="21"/>
      <c r="J25" s="21">
        <v>110522.88</v>
      </c>
      <c r="K25" s="21">
        <v>0</v>
      </c>
      <c r="L25" s="22">
        <f t="shared" si="0"/>
        <v>110522.88</v>
      </c>
    </row>
    <row r="26" spans="1:12" x14ac:dyDescent="0.25">
      <c r="A26" t="s">
        <v>1111</v>
      </c>
      <c r="B26" s="7" t="s">
        <v>1013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1">
        <v>0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1112</v>
      </c>
      <c r="B27" s="7" t="s">
        <v>432</v>
      </c>
      <c r="C27" s="22">
        <v>0</v>
      </c>
      <c r="D27" s="22">
        <v>0</v>
      </c>
      <c r="E27" s="22">
        <v>0</v>
      </c>
      <c r="F27" s="22">
        <v>0</v>
      </c>
      <c r="G27" s="22">
        <v>1526.72</v>
      </c>
      <c r="H27" s="21">
        <v>2000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1113</v>
      </c>
      <c r="B28" s="7" t="s">
        <v>434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1114</v>
      </c>
      <c r="B29" s="7" t="s">
        <v>436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1">
        <v>0</v>
      </c>
      <c r="I29" s="21"/>
      <c r="J29" s="21">
        <v>0</v>
      </c>
      <c r="K29" s="21">
        <v>0</v>
      </c>
      <c r="L29" s="22">
        <f t="shared" si="0"/>
        <v>0</v>
      </c>
    </row>
    <row r="30" spans="1:12" x14ac:dyDescent="0.25">
      <c r="A30" t="s">
        <v>1115</v>
      </c>
      <c r="B30" s="7" t="s">
        <v>1020</v>
      </c>
      <c r="C30" s="22">
        <v>0</v>
      </c>
      <c r="D30" s="22">
        <v>0</v>
      </c>
      <c r="E30" s="22">
        <v>0</v>
      </c>
      <c r="F30" s="22">
        <v>0</v>
      </c>
      <c r="G30" s="22">
        <v>821.79</v>
      </c>
      <c r="H30" s="21">
        <v>1300</v>
      </c>
      <c r="I30" s="21"/>
      <c r="J30" s="21">
        <v>1500</v>
      </c>
      <c r="K30" s="21">
        <v>0</v>
      </c>
      <c r="L30" s="22">
        <f t="shared" si="0"/>
        <v>1500</v>
      </c>
    </row>
    <row r="31" spans="1:12" x14ac:dyDescent="0.25">
      <c r="C31" s="22"/>
      <c r="D31" s="22"/>
      <c r="E31" s="22"/>
      <c r="F31" s="22"/>
      <c r="G31" s="22"/>
      <c r="H31" s="21"/>
      <c r="I31" s="21"/>
      <c r="J31" s="21"/>
      <c r="K31" s="21"/>
      <c r="L31" s="22"/>
    </row>
    <row r="32" spans="1:12" x14ac:dyDescent="0.25">
      <c r="C32" s="22"/>
      <c r="D32" s="22"/>
      <c r="E32" s="22"/>
      <c r="F32" s="22"/>
      <c r="G32" s="22"/>
      <c r="H32" s="21"/>
      <c r="I32" s="21"/>
      <c r="J32" s="21"/>
      <c r="K32" s="21"/>
      <c r="L32" s="22"/>
    </row>
    <row r="33" spans="1:12" x14ac:dyDescent="0.25">
      <c r="A33" t="s">
        <v>109</v>
      </c>
      <c r="C33" s="22"/>
      <c r="D33" s="22"/>
      <c r="E33" s="22"/>
      <c r="F33" s="22"/>
      <c r="G33" s="22"/>
      <c r="H33" s="21"/>
      <c r="I33" s="21"/>
      <c r="J33" s="21"/>
      <c r="K33" s="21"/>
      <c r="L33" s="22"/>
    </row>
    <row r="34" spans="1:12" x14ac:dyDescent="0.25">
      <c r="B34" t="s">
        <v>441</v>
      </c>
      <c r="C34" s="20">
        <f t="shared" ref="C34:H34" si="1">SUM(C13:C30)</f>
        <v>0</v>
      </c>
      <c r="D34" s="20">
        <f t="shared" si="1"/>
        <v>0</v>
      </c>
      <c r="E34" s="20">
        <f t="shared" si="1"/>
        <v>0</v>
      </c>
      <c r="F34" s="20">
        <f t="shared" si="1"/>
        <v>176114</v>
      </c>
      <c r="G34" s="20">
        <f t="shared" si="1"/>
        <v>122370.68999999999</v>
      </c>
      <c r="H34" s="20">
        <f t="shared" si="1"/>
        <v>139334</v>
      </c>
      <c r="I34" s="20"/>
      <c r="J34" s="20">
        <f>SUM(J13:J30)</f>
        <v>151995.29800000001</v>
      </c>
      <c r="K34" s="20">
        <f>SUM(K13:K30)</f>
        <v>0</v>
      </c>
      <c r="L34" s="20">
        <f>SUM(L13:L30)</f>
        <v>151995.29800000001</v>
      </c>
    </row>
    <row r="35" spans="1:12" x14ac:dyDescent="0.25">
      <c r="C35" s="22"/>
      <c r="D35" s="22"/>
      <c r="E35" s="22"/>
      <c r="F35" s="22"/>
      <c r="G35" s="22"/>
      <c r="H35" s="21"/>
      <c r="I35" s="21"/>
      <c r="J35" s="21"/>
      <c r="K35" s="21"/>
      <c r="L35" s="22"/>
    </row>
    <row r="36" spans="1:12" x14ac:dyDescent="0.25">
      <c r="A36" t="s">
        <v>478</v>
      </c>
      <c r="C36" s="22"/>
      <c r="D36" s="22"/>
      <c r="E36" s="22"/>
      <c r="F36" s="22"/>
      <c r="G36" s="22"/>
      <c r="H36" s="21"/>
      <c r="I36" s="21"/>
      <c r="J36" s="21"/>
      <c r="K36" s="21"/>
      <c r="L36" s="22"/>
    </row>
    <row r="37" spans="1:12" x14ac:dyDescent="0.25">
      <c r="A37" t="s">
        <v>18</v>
      </c>
      <c r="B37" s="7" t="s">
        <v>21</v>
      </c>
      <c r="C37" s="22"/>
      <c r="D37" s="22"/>
      <c r="E37" s="22"/>
      <c r="F37" s="22"/>
      <c r="G37" s="22"/>
      <c r="H37" s="21"/>
      <c r="I37" s="21"/>
      <c r="J37" s="21"/>
      <c r="K37" s="21"/>
      <c r="L37" s="22"/>
    </row>
    <row r="38" spans="1:12" x14ac:dyDescent="0.25">
      <c r="A38" t="s">
        <v>1116</v>
      </c>
      <c r="B38" s="7" t="s">
        <v>445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1">
        <v>0</v>
      </c>
      <c r="I38" s="21"/>
      <c r="J38" s="21">
        <v>0</v>
      </c>
      <c r="K38" s="21">
        <v>0</v>
      </c>
      <c r="L38" s="22">
        <f>SUM(J38+K38)</f>
        <v>0</v>
      </c>
    </row>
    <row r="39" spans="1:12" x14ac:dyDescent="0.25">
      <c r="A39" t="s">
        <v>1117</v>
      </c>
      <c r="B39" s="7" t="s">
        <v>447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1">
        <v>0</v>
      </c>
      <c r="I39" s="21"/>
      <c r="J39" s="21">
        <v>0</v>
      </c>
      <c r="K39" s="21">
        <v>0</v>
      </c>
      <c r="L39" s="22">
        <f t="shared" ref="L39:L58" si="2">SUM(J39+K39)</f>
        <v>0</v>
      </c>
    </row>
    <row r="40" spans="1:12" x14ac:dyDescent="0.25">
      <c r="A40" t="s">
        <v>1118</v>
      </c>
      <c r="B40" s="7" t="s">
        <v>449</v>
      </c>
      <c r="C40" s="22">
        <v>0</v>
      </c>
      <c r="D40" s="22">
        <v>0</v>
      </c>
      <c r="E40" s="22">
        <v>0</v>
      </c>
      <c r="F40" s="22">
        <v>2000</v>
      </c>
      <c r="G40" s="22">
        <v>947</v>
      </c>
      <c r="H40" s="21">
        <v>1000</v>
      </c>
      <c r="I40" s="21"/>
      <c r="J40" s="21">
        <v>2000</v>
      </c>
      <c r="K40" s="21">
        <v>0</v>
      </c>
      <c r="L40" s="22">
        <f t="shared" si="2"/>
        <v>2000</v>
      </c>
    </row>
    <row r="41" spans="1:12" x14ac:dyDescent="0.25">
      <c r="B41" s="7" t="s">
        <v>3647</v>
      </c>
      <c r="C41" s="22"/>
      <c r="D41" s="22"/>
      <c r="E41" s="22"/>
      <c r="F41" s="22"/>
      <c r="G41" s="22"/>
      <c r="H41" s="21"/>
      <c r="I41" s="21">
        <v>2000</v>
      </c>
      <c r="J41" s="21">
        <v>0</v>
      </c>
      <c r="K41" s="21">
        <v>0</v>
      </c>
      <c r="L41" s="22"/>
    </row>
    <row r="42" spans="1:12" x14ac:dyDescent="0.25">
      <c r="A42" t="s">
        <v>1119</v>
      </c>
      <c r="B42" s="7" t="s">
        <v>451</v>
      </c>
      <c r="C42" s="22">
        <v>0</v>
      </c>
      <c r="D42" s="22">
        <v>0</v>
      </c>
      <c r="E42" s="22">
        <v>0</v>
      </c>
      <c r="F42" s="22">
        <v>3000</v>
      </c>
      <c r="G42" s="22">
        <v>1750</v>
      </c>
      <c r="H42" s="21">
        <v>1750</v>
      </c>
      <c r="I42" s="21"/>
      <c r="J42" s="21">
        <v>3000</v>
      </c>
      <c r="K42" s="21">
        <v>0</v>
      </c>
      <c r="L42" s="22">
        <f t="shared" si="2"/>
        <v>3000</v>
      </c>
    </row>
    <row r="43" spans="1:12" x14ac:dyDescent="0.25">
      <c r="B43" s="7" t="s">
        <v>3648</v>
      </c>
      <c r="C43" s="22"/>
      <c r="D43" s="22"/>
      <c r="E43" s="22"/>
      <c r="F43" s="22"/>
      <c r="G43" s="22"/>
      <c r="H43" s="21"/>
      <c r="I43" s="21">
        <v>3000</v>
      </c>
      <c r="J43" s="21">
        <v>0</v>
      </c>
      <c r="K43" s="21">
        <v>0</v>
      </c>
      <c r="L43" s="22"/>
    </row>
    <row r="44" spans="1:12" x14ac:dyDescent="0.25">
      <c r="A44" t="s">
        <v>1120</v>
      </c>
      <c r="B44" s="7" t="s">
        <v>457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1">
        <v>0</v>
      </c>
      <c r="I44" s="21"/>
      <c r="J44" s="21">
        <v>0</v>
      </c>
      <c r="K44" s="21">
        <v>0</v>
      </c>
      <c r="L44" s="22">
        <f t="shared" si="2"/>
        <v>0</v>
      </c>
    </row>
    <row r="45" spans="1:12" x14ac:dyDescent="0.25">
      <c r="A45" t="s">
        <v>1121</v>
      </c>
      <c r="B45" s="7" t="s">
        <v>461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1">
        <v>0</v>
      </c>
      <c r="I45" s="21"/>
      <c r="J45" s="21">
        <v>0</v>
      </c>
      <c r="K45" s="21">
        <v>0</v>
      </c>
      <c r="L45" s="22">
        <f t="shared" si="2"/>
        <v>0</v>
      </c>
    </row>
    <row r="46" spans="1:12" x14ac:dyDescent="0.25">
      <c r="A46" t="s">
        <v>1122</v>
      </c>
      <c r="B46" s="7" t="s">
        <v>465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1">
        <v>0</v>
      </c>
      <c r="I46" s="21"/>
      <c r="J46" s="21">
        <v>0</v>
      </c>
      <c r="K46" s="21">
        <v>0</v>
      </c>
      <c r="L46" s="22">
        <f t="shared" si="2"/>
        <v>0</v>
      </c>
    </row>
    <row r="47" spans="1:12" x14ac:dyDescent="0.25">
      <c r="A47" t="s">
        <v>1123</v>
      </c>
      <c r="B47" s="7" t="s">
        <v>471</v>
      </c>
      <c r="C47" s="22">
        <v>0</v>
      </c>
      <c r="D47" s="22">
        <v>0</v>
      </c>
      <c r="E47" s="22">
        <v>0</v>
      </c>
      <c r="F47" s="22">
        <v>1100</v>
      </c>
      <c r="G47" s="22">
        <v>0</v>
      </c>
      <c r="H47" s="21">
        <v>1100</v>
      </c>
      <c r="I47" s="21"/>
      <c r="J47" s="21">
        <v>1100</v>
      </c>
      <c r="K47" s="21">
        <v>0</v>
      </c>
      <c r="L47" s="22">
        <f t="shared" si="2"/>
        <v>1100</v>
      </c>
    </row>
    <row r="48" spans="1:12" x14ac:dyDescent="0.25">
      <c r="B48" s="7" t="s">
        <v>3649</v>
      </c>
      <c r="C48" s="22"/>
      <c r="D48" s="22"/>
      <c r="E48" s="22"/>
      <c r="F48" s="22"/>
      <c r="G48" s="22"/>
      <c r="H48" s="21"/>
      <c r="I48" s="21">
        <v>1100</v>
      </c>
      <c r="J48" s="21">
        <v>0</v>
      </c>
      <c r="K48" s="21">
        <v>0</v>
      </c>
      <c r="L48" s="22"/>
    </row>
    <row r="49" spans="1:12" x14ac:dyDescent="0.25">
      <c r="A49" t="s">
        <v>1124</v>
      </c>
      <c r="B49" s="7" t="s">
        <v>473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1">
        <v>0</v>
      </c>
      <c r="I49" s="21"/>
      <c r="J49" s="21">
        <v>0</v>
      </c>
      <c r="K49" s="21">
        <v>0</v>
      </c>
      <c r="L49" s="22">
        <f t="shared" si="2"/>
        <v>0</v>
      </c>
    </row>
    <row r="50" spans="1:12" x14ac:dyDescent="0.25">
      <c r="A50" t="s">
        <v>1125</v>
      </c>
      <c r="B50" s="7" t="s">
        <v>626</v>
      </c>
      <c r="C50" s="22">
        <v>0</v>
      </c>
      <c r="D50" s="22">
        <v>0</v>
      </c>
      <c r="E50" s="22">
        <v>0</v>
      </c>
      <c r="F50" s="22">
        <v>3000</v>
      </c>
      <c r="G50" s="22">
        <v>694.92</v>
      </c>
      <c r="H50" s="21">
        <v>850</v>
      </c>
      <c r="I50" s="21"/>
      <c r="J50" s="21">
        <v>2000</v>
      </c>
      <c r="K50" s="21">
        <v>0</v>
      </c>
      <c r="L50" s="22">
        <f t="shared" si="2"/>
        <v>2000</v>
      </c>
    </row>
    <row r="51" spans="1:12" x14ac:dyDescent="0.25">
      <c r="A51" t="s">
        <v>1126</v>
      </c>
      <c r="B51" s="7" t="s">
        <v>1055</v>
      </c>
      <c r="C51" s="22">
        <v>0</v>
      </c>
      <c r="D51" s="22">
        <v>0</v>
      </c>
      <c r="E51" s="22">
        <v>0</v>
      </c>
      <c r="F51" s="22">
        <v>10000</v>
      </c>
      <c r="G51" s="22">
        <v>5518.9</v>
      </c>
      <c r="H51" s="21">
        <v>7500</v>
      </c>
      <c r="I51" s="21"/>
      <c r="J51" s="21">
        <v>10000</v>
      </c>
      <c r="K51" s="21">
        <v>5000</v>
      </c>
      <c r="L51" s="22">
        <f t="shared" si="2"/>
        <v>15000</v>
      </c>
    </row>
    <row r="52" spans="1:12" x14ac:dyDescent="0.25">
      <c r="B52" s="7" t="s">
        <v>3650</v>
      </c>
      <c r="C52" s="22"/>
      <c r="D52" s="22"/>
      <c r="E52" s="22"/>
      <c r="F52" s="22"/>
      <c r="G52" s="22"/>
      <c r="H52" s="21"/>
      <c r="I52" s="21">
        <v>4000</v>
      </c>
      <c r="J52" s="21"/>
      <c r="K52" s="21"/>
      <c r="L52" s="22"/>
    </row>
    <row r="53" spans="1:12" x14ac:dyDescent="0.25">
      <c r="B53" s="7" t="s">
        <v>3651</v>
      </c>
      <c r="C53" s="22"/>
      <c r="D53" s="22"/>
      <c r="E53" s="22"/>
      <c r="F53" s="22"/>
      <c r="G53" s="22"/>
      <c r="H53" s="21"/>
      <c r="I53" s="21">
        <v>1000</v>
      </c>
      <c r="J53" s="21"/>
      <c r="K53" s="21"/>
      <c r="L53" s="22"/>
    </row>
    <row r="54" spans="1:12" x14ac:dyDescent="0.25">
      <c r="B54" s="7" t="s">
        <v>3652</v>
      </c>
      <c r="C54" s="22"/>
      <c r="D54" s="22"/>
      <c r="E54" s="22"/>
      <c r="F54" s="22"/>
      <c r="G54" s="22"/>
      <c r="H54" s="21"/>
      <c r="I54" s="21">
        <v>5000</v>
      </c>
      <c r="J54" s="21"/>
      <c r="K54" s="21"/>
      <c r="L54" s="22"/>
    </row>
    <row r="55" spans="1:12" x14ac:dyDescent="0.25">
      <c r="B55" s="7" t="s">
        <v>3653</v>
      </c>
      <c r="C55" s="22"/>
      <c r="D55" s="22"/>
      <c r="E55" s="22"/>
      <c r="F55" s="22"/>
      <c r="G55" s="22"/>
      <c r="H55" s="21"/>
      <c r="I55" s="21">
        <v>5000</v>
      </c>
      <c r="J55" s="21"/>
      <c r="K55" s="21"/>
      <c r="L55" s="22"/>
    </row>
    <row r="56" spans="1:12" x14ac:dyDescent="0.25">
      <c r="A56" t="s">
        <v>1127</v>
      </c>
      <c r="B56" s="7" t="s">
        <v>475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1">
        <v>0</v>
      </c>
      <c r="I56" s="21"/>
      <c r="J56" s="21">
        <v>0</v>
      </c>
      <c r="K56" s="21">
        <v>0</v>
      </c>
      <c r="L56" s="22">
        <f t="shared" si="2"/>
        <v>0</v>
      </c>
    </row>
    <row r="57" spans="1:12" x14ac:dyDescent="0.25">
      <c r="A57" t="s">
        <v>1128</v>
      </c>
      <c r="B57" s="7" t="s">
        <v>1060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1">
        <v>0</v>
      </c>
      <c r="I57" s="21"/>
      <c r="J57" s="21">
        <v>0</v>
      </c>
      <c r="K57" s="21">
        <v>0</v>
      </c>
      <c r="L57" s="22">
        <f t="shared" si="2"/>
        <v>0</v>
      </c>
    </row>
    <row r="58" spans="1:12" x14ac:dyDescent="0.25">
      <c r="A58" t="s">
        <v>1129</v>
      </c>
      <c r="B58" s="7" t="s">
        <v>477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1">
        <v>0</v>
      </c>
      <c r="I58" s="21"/>
      <c r="J58" s="21">
        <v>0</v>
      </c>
      <c r="K58" s="21">
        <v>0</v>
      </c>
      <c r="L58" s="22">
        <f t="shared" si="2"/>
        <v>0</v>
      </c>
    </row>
    <row r="59" spans="1:12" x14ac:dyDescent="0.25">
      <c r="C59" s="22"/>
      <c r="D59" s="22"/>
      <c r="E59" s="22"/>
      <c r="F59" s="22"/>
      <c r="G59" s="22"/>
      <c r="H59" s="21"/>
      <c r="I59" s="21"/>
      <c r="J59" s="21"/>
      <c r="K59" s="21"/>
      <c r="L59" s="22"/>
    </row>
    <row r="60" spans="1:12" x14ac:dyDescent="0.25">
      <c r="C60" s="22"/>
      <c r="D60" s="22"/>
      <c r="E60" s="22"/>
      <c r="F60" s="22"/>
      <c r="G60" s="22"/>
      <c r="H60" s="21"/>
      <c r="I60" s="21"/>
      <c r="J60" s="21"/>
      <c r="K60" s="21"/>
      <c r="L60" s="22"/>
    </row>
    <row r="61" spans="1:12" x14ac:dyDescent="0.25">
      <c r="A61" t="s">
        <v>109</v>
      </c>
      <c r="C61" s="22"/>
      <c r="D61" s="22"/>
      <c r="E61" s="22"/>
      <c r="F61" s="22"/>
      <c r="G61" s="22"/>
      <c r="H61" s="21"/>
      <c r="I61" s="21"/>
      <c r="J61" s="21"/>
      <c r="K61" s="21"/>
      <c r="L61" s="22"/>
    </row>
    <row r="62" spans="1:12" x14ac:dyDescent="0.25">
      <c r="B62" t="s">
        <v>478</v>
      </c>
      <c r="C62" s="20">
        <f t="shared" ref="C62:H62" si="3">SUM(C38:C58)</f>
        <v>0</v>
      </c>
      <c r="D62" s="20">
        <f t="shared" si="3"/>
        <v>0</v>
      </c>
      <c r="E62" s="20">
        <f t="shared" si="3"/>
        <v>0</v>
      </c>
      <c r="F62" s="20">
        <f t="shared" si="3"/>
        <v>19100</v>
      </c>
      <c r="G62" s="20">
        <f t="shared" si="3"/>
        <v>8910.82</v>
      </c>
      <c r="H62" s="20">
        <f t="shared" si="3"/>
        <v>12200</v>
      </c>
      <c r="I62" s="20"/>
      <c r="J62" s="20">
        <f>SUM(J38:J58)</f>
        <v>18100</v>
      </c>
      <c r="K62" s="20">
        <f>SUM(K38:K58)</f>
        <v>5000</v>
      </c>
      <c r="L62" s="20">
        <f>SUM(L38:L58)</f>
        <v>23100</v>
      </c>
    </row>
    <row r="63" spans="1:12" x14ac:dyDescent="0.25">
      <c r="C63" s="22"/>
      <c r="D63" s="22"/>
      <c r="E63" s="22"/>
      <c r="F63" s="22"/>
      <c r="G63" s="22"/>
      <c r="H63" s="21"/>
      <c r="I63" s="21"/>
      <c r="J63" s="21"/>
      <c r="K63" s="21"/>
      <c r="L63" s="22"/>
    </row>
    <row r="64" spans="1:12" x14ac:dyDescent="0.25">
      <c r="A64" t="s">
        <v>489</v>
      </c>
      <c r="C64" s="22"/>
      <c r="D64" s="22"/>
      <c r="E64" s="22"/>
      <c r="F64" s="22"/>
      <c r="G64" s="22"/>
      <c r="H64" s="21"/>
      <c r="I64" s="21"/>
      <c r="J64" s="21"/>
      <c r="K64" s="21"/>
      <c r="L64" s="22"/>
    </row>
    <row r="65" spans="1:12" x14ac:dyDescent="0.25">
      <c r="A65" t="s">
        <v>18</v>
      </c>
      <c r="C65" s="22"/>
      <c r="D65" s="22"/>
      <c r="E65" s="22"/>
      <c r="F65" s="22"/>
      <c r="G65" s="22"/>
      <c r="H65" s="21"/>
      <c r="I65" s="21"/>
      <c r="J65" s="21"/>
      <c r="K65" s="21"/>
      <c r="L65" s="22"/>
    </row>
    <row r="66" spans="1:12" x14ac:dyDescent="0.25">
      <c r="A66" t="s">
        <v>1130</v>
      </c>
      <c r="B66" s="7" t="s">
        <v>493</v>
      </c>
      <c r="C66" s="22">
        <v>0</v>
      </c>
      <c r="D66" s="22">
        <v>0</v>
      </c>
      <c r="E66" s="22">
        <v>0</v>
      </c>
      <c r="F66" s="22">
        <v>1000</v>
      </c>
      <c r="G66" s="22">
        <v>189.7</v>
      </c>
      <c r="H66" s="21">
        <v>250</v>
      </c>
      <c r="I66" s="21"/>
      <c r="J66" s="21">
        <v>1000</v>
      </c>
      <c r="K66" s="21">
        <v>0</v>
      </c>
      <c r="L66" s="22">
        <f>SUM(J66+K66)</f>
        <v>1000</v>
      </c>
    </row>
    <row r="67" spans="1:12" x14ac:dyDescent="0.25">
      <c r="A67" t="s">
        <v>1131</v>
      </c>
      <c r="B67" s="7" t="s">
        <v>489</v>
      </c>
      <c r="C67" s="22">
        <v>0</v>
      </c>
      <c r="D67" s="22">
        <v>0</v>
      </c>
      <c r="E67" s="22">
        <v>0</v>
      </c>
      <c r="F67" s="22">
        <v>500</v>
      </c>
      <c r="G67" s="22">
        <v>1450.77</v>
      </c>
      <c r="H67" s="21">
        <v>1500</v>
      </c>
      <c r="I67" s="21"/>
      <c r="J67" s="21">
        <v>1500</v>
      </c>
      <c r="K67" s="21">
        <v>0</v>
      </c>
      <c r="L67" s="22">
        <f t="shared" ref="L67:L69" si="4">SUM(J67+K67)</f>
        <v>1500</v>
      </c>
    </row>
    <row r="68" spans="1:12" x14ac:dyDescent="0.25">
      <c r="B68" s="7" t="s">
        <v>3624</v>
      </c>
      <c r="C68" s="22"/>
      <c r="D68" s="22"/>
      <c r="E68" s="22"/>
      <c r="F68" s="22"/>
      <c r="G68" s="22"/>
      <c r="H68" s="21"/>
      <c r="I68" s="21"/>
      <c r="J68" s="21"/>
      <c r="K68" s="21"/>
      <c r="L68" s="22"/>
    </row>
    <row r="69" spans="1:12" x14ac:dyDescent="0.25">
      <c r="A69" t="s">
        <v>1132</v>
      </c>
      <c r="B69" s="7" t="s">
        <v>496</v>
      </c>
      <c r="C69" s="22">
        <v>0</v>
      </c>
      <c r="D69" s="22">
        <v>0</v>
      </c>
      <c r="E69" s="22">
        <v>0</v>
      </c>
      <c r="F69" s="22">
        <v>2000</v>
      </c>
      <c r="G69" s="22">
        <v>1901.39</v>
      </c>
      <c r="H69" s="21">
        <v>2300</v>
      </c>
      <c r="I69" s="21"/>
      <c r="J69" s="21">
        <v>2500</v>
      </c>
      <c r="K69" s="21">
        <v>0</v>
      </c>
      <c r="L69" s="22">
        <f t="shared" si="4"/>
        <v>2500</v>
      </c>
    </row>
    <row r="70" spans="1:12" x14ac:dyDescent="0.25">
      <c r="C70" s="22"/>
      <c r="D70" s="22"/>
      <c r="E70" s="22"/>
      <c r="F70" s="22"/>
      <c r="G70" s="22"/>
      <c r="H70" s="21"/>
      <c r="I70" s="21"/>
      <c r="J70" s="21"/>
      <c r="K70" s="21"/>
      <c r="L70" s="22"/>
    </row>
    <row r="71" spans="1:12" x14ac:dyDescent="0.25">
      <c r="C71" s="22"/>
      <c r="D71" s="22"/>
      <c r="E71" s="22"/>
      <c r="F71" s="22"/>
      <c r="G71" s="22"/>
      <c r="H71" s="21"/>
      <c r="I71" s="21"/>
      <c r="J71" s="21"/>
      <c r="K71" s="21"/>
      <c r="L71" s="22"/>
    </row>
    <row r="72" spans="1:12" x14ac:dyDescent="0.25">
      <c r="A72" t="s">
        <v>109</v>
      </c>
      <c r="C72" s="22"/>
      <c r="D72" s="22"/>
      <c r="E72" s="22"/>
      <c r="F72" s="22"/>
      <c r="G72" s="22"/>
      <c r="H72" s="21"/>
      <c r="I72" s="21"/>
      <c r="J72" s="21"/>
      <c r="K72" s="21"/>
      <c r="L72" s="22"/>
    </row>
    <row r="73" spans="1:12" x14ac:dyDescent="0.25">
      <c r="B73" t="s">
        <v>489</v>
      </c>
      <c r="C73" s="20">
        <f t="shared" ref="C73:H73" si="5">SUM(C66:C69)</f>
        <v>0</v>
      </c>
      <c r="D73" s="20">
        <f t="shared" si="5"/>
        <v>0</v>
      </c>
      <c r="E73" s="20">
        <f t="shared" si="5"/>
        <v>0</v>
      </c>
      <c r="F73" s="20">
        <f t="shared" si="5"/>
        <v>3500</v>
      </c>
      <c r="G73" s="20">
        <f t="shared" si="5"/>
        <v>3541.86</v>
      </c>
      <c r="H73" s="20">
        <f t="shared" si="5"/>
        <v>4050</v>
      </c>
      <c r="I73" s="20"/>
      <c r="J73" s="20">
        <f>SUM(J66:J69)</f>
        <v>5000</v>
      </c>
      <c r="K73" s="20">
        <f>SUM(K66:K69)</f>
        <v>0</v>
      </c>
      <c r="L73" s="20">
        <f>SUM(L66:L69)</f>
        <v>5000</v>
      </c>
    </row>
    <row r="74" spans="1:12" x14ac:dyDescent="0.25">
      <c r="A74" t="s">
        <v>110</v>
      </c>
      <c r="C74" s="22"/>
      <c r="D74" s="22"/>
      <c r="E74" s="22"/>
      <c r="F74" s="22"/>
      <c r="G74" s="22"/>
      <c r="H74" s="21"/>
      <c r="I74" s="21"/>
      <c r="J74" s="21"/>
      <c r="K74" s="21"/>
      <c r="L74" s="22"/>
    </row>
    <row r="75" spans="1:12" x14ac:dyDescent="0.25">
      <c r="A75" t="s">
        <v>501</v>
      </c>
      <c r="C75" s="22"/>
      <c r="D75" s="22"/>
      <c r="E75" s="22"/>
      <c r="F75" s="22"/>
      <c r="G75" s="22"/>
      <c r="H75" s="21"/>
      <c r="I75" s="21"/>
      <c r="J75" s="21"/>
      <c r="K75" s="21"/>
      <c r="L75" s="22"/>
    </row>
    <row r="76" spans="1:12" x14ac:dyDescent="0.25">
      <c r="A76" t="s">
        <v>18</v>
      </c>
      <c r="C76" s="22"/>
      <c r="D76" s="22"/>
      <c r="E76" s="22"/>
      <c r="F76" s="22"/>
      <c r="G76" s="22"/>
      <c r="H76" s="21"/>
      <c r="I76" s="21"/>
      <c r="J76" s="21"/>
      <c r="K76" s="21"/>
      <c r="L76" s="22"/>
    </row>
    <row r="77" spans="1:12" x14ac:dyDescent="0.25">
      <c r="A77" t="s">
        <v>1134</v>
      </c>
      <c r="B77" s="7" t="s">
        <v>503</v>
      </c>
      <c r="C77" s="22">
        <v>0</v>
      </c>
      <c r="D77" s="22">
        <v>0</v>
      </c>
      <c r="E77" s="22">
        <v>0</v>
      </c>
      <c r="F77" s="22">
        <v>20000</v>
      </c>
      <c r="G77" s="22">
        <v>12650</v>
      </c>
      <c r="H77" s="21">
        <v>12650</v>
      </c>
      <c r="I77" s="21"/>
      <c r="J77" s="21">
        <v>20000</v>
      </c>
      <c r="K77" s="21">
        <v>0</v>
      </c>
      <c r="L77" s="22">
        <f>SUM(J77+K77)</f>
        <v>20000</v>
      </c>
    </row>
    <row r="78" spans="1:12" x14ac:dyDescent="0.25">
      <c r="A78" t="s">
        <v>1135</v>
      </c>
      <c r="B78" s="7" t="s">
        <v>509</v>
      </c>
      <c r="C78" s="22">
        <v>0</v>
      </c>
      <c r="D78" s="22">
        <v>0</v>
      </c>
      <c r="E78" s="22">
        <v>0</v>
      </c>
      <c r="F78" s="22">
        <v>25000</v>
      </c>
      <c r="G78" s="22">
        <v>32600</v>
      </c>
      <c r="H78" s="21">
        <v>32600</v>
      </c>
      <c r="I78" s="21"/>
      <c r="J78" s="21">
        <v>20000</v>
      </c>
      <c r="K78" s="21">
        <v>0</v>
      </c>
      <c r="L78" s="22">
        <f t="shared" ref="L78:L81" si="6">SUM(J78+K78)</f>
        <v>20000</v>
      </c>
    </row>
    <row r="79" spans="1:12" x14ac:dyDescent="0.25">
      <c r="B79" s="7" t="s">
        <v>3654</v>
      </c>
      <c r="C79" s="22"/>
      <c r="D79" s="22"/>
      <c r="E79" s="22"/>
      <c r="F79" s="22"/>
      <c r="G79" s="22"/>
      <c r="H79" s="21"/>
      <c r="I79" s="21">
        <v>20000</v>
      </c>
      <c r="J79" s="21"/>
      <c r="K79" s="21"/>
      <c r="L79" s="22"/>
    </row>
    <row r="80" spans="1:12" x14ac:dyDescent="0.25">
      <c r="A80" t="s">
        <v>1136</v>
      </c>
      <c r="B80" s="7" t="s">
        <v>521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1">
        <v>0</v>
      </c>
      <c r="I80" s="21"/>
      <c r="J80" s="21">
        <v>0</v>
      </c>
      <c r="K80" s="21">
        <v>0</v>
      </c>
      <c r="L80" s="22">
        <f t="shared" si="6"/>
        <v>0</v>
      </c>
    </row>
    <row r="81" spans="1:12" x14ac:dyDescent="0.25">
      <c r="A81" t="s">
        <v>1137</v>
      </c>
      <c r="B81" s="7" t="s">
        <v>1085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1">
        <v>0</v>
      </c>
      <c r="I81" s="21"/>
      <c r="J81" s="21">
        <v>0</v>
      </c>
      <c r="K81" s="21">
        <v>0</v>
      </c>
      <c r="L81" s="22">
        <f t="shared" si="6"/>
        <v>0</v>
      </c>
    </row>
    <row r="82" spans="1:12" x14ac:dyDescent="0.25">
      <c r="C82" s="22"/>
      <c r="D82" s="22"/>
      <c r="E82" s="22"/>
      <c r="F82" s="22"/>
      <c r="G82" s="22"/>
      <c r="H82" s="21"/>
      <c r="I82" s="21"/>
      <c r="J82" s="21"/>
      <c r="K82" s="21"/>
      <c r="L82" s="22"/>
    </row>
    <row r="83" spans="1:12" x14ac:dyDescent="0.25">
      <c r="C83" s="22"/>
      <c r="D83" s="22"/>
      <c r="E83" s="22"/>
      <c r="F83" s="22"/>
      <c r="G83" s="22"/>
      <c r="H83" s="21"/>
      <c r="I83" s="21"/>
      <c r="J83" s="21"/>
      <c r="K83" s="21"/>
      <c r="L83" s="22"/>
    </row>
    <row r="84" spans="1:12" x14ac:dyDescent="0.25">
      <c r="A84" t="s">
        <v>109</v>
      </c>
      <c r="C84" s="22"/>
      <c r="D84" s="22"/>
      <c r="E84" s="22"/>
      <c r="F84" s="22"/>
      <c r="G84" s="22"/>
      <c r="H84" s="21"/>
      <c r="I84" s="21"/>
      <c r="J84" s="21"/>
      <c r="K84" s="21"/>
      <c r="L84" s="22"/>
    </row>
    <row r="85" spans="1:12" x14ac:dyDescent="0.25">
      <c r="B85" t="s">
        <v>501</v>
      </c>
      <c r="C85" s="20">
        <f t="shared" ref="C85:H85" si="7">SUM(C77:C81)</f>
        <v>0</v>
      </c>
      <c r="D85" s="20">
        <f t="shared" si="7"/>
        <v>0</v>
      </c>
      <c r="E85" s="20">
        <f t="shared" si="7"/>
        <v>0</v>
      </c>
      <c r="F85" s="20">
        <f t="shared" si="7"/>
        <v>45000</v>
      </c>
      <c r="G85" s="20">
        <f t="shared" si="7"/>
        <v>45250</v>
      </c>
      <c r="H85" s="20">
        <f t="shared" si="7"/>
        <v>45250</v>
      </c>
      <c r="I85" s="20"/>
      <c r="J85" s="20">
        <f>SUM(J77:J81)</f>
        <v>40000</v>
      </c>
      <c r="K85" s="20">
        <f>SUM(K77:K81)</f>
        <v>0</v>
      </c>
      <c r="L85" s="20">
        <f>SUM(L77:L81)</f>
        <v>40000</v>
      </c>
    </row>
    <row r="86" spans="1:12" x14ac:dyDescent="0.25">
      <c r="C86" s="22"/>
      <c r="D86" s="22"/>
      <c r="E86" s="22"/>
      <c r="F86" s="22"/>
      <c r="G86" s="22"/>
      <c r="H86" s="21"/>
      <c r="I86" s="21"/>
      <c r="J86" s="21"/>
      <c r="K86" s="21"/>
      <c r="L86" s="22"/>
    </row>
    <row r="87" spans="1:12" x14ac:dyDescent="0.25">
      <c r="A87" t="s">
        <v>524</v>
      </c>
      <c r="B87" s="7" t="s">
        <v>525</v>
      </c>
      <c r="C87" s="22"/>
      <c r="D87" s="22"/>
      <c r="E87" s="22"/>
      <c r="F87" s="22"/>
      <c r="G87" s="22"/>
      <c r="H87" s="21"/>
      <c r="I87" s="21"/>
      <c r="J87" s="21"/>
      <c r="K87" s="21"/>
      <c r="L87" s="22"/>
    </row>
    <row r="88" spans="1:12" x14ac:dyDescent="0.25">
      <c r="A88" t="s">
        <v>18</v>
      </c>
      <c r="B88" s="7" t="s">
        <v>526</v>
      </c>
      <c r="C88" s="22"/>
      <c r="D88" s="22"/>
      <c r="E88" s="22"/>
      <c r="F88" s="22"/>
      <c r="G88" s="22"/>
      <c r="H88" s="21"/>
      <c r="I88" s="21"/>
      <c r="J88" s="21"/>
      <c r="K88" s="21"/>
      <c r="L88" s="22"/>
    </row>
    <row r="89" spans="1:12" x14ac:dyDescent="0.25">
      <c r="A89" t="s">
        <v>1138</v>
      </c>
      <c r="B89" s="7" t="s">
        <v>530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1">
        <v>0</v>
      </c>
      <c r="I89" s="21"/>
      <c r="J89" s="21">
        <v>0</v>
      </c>
      <c r="K89" s="21">
        <v>0</v>
      </c>
      <c r="L89" s="22">
        <f>SUM(J89+K89)</f>
        <v>0</v>
      </c>
    </row>
    <row r="90" spans="1:12" x14ac:dyDescent="0.25">
      <c r="A90" t="s">
        <v>1139</v>
      </c>
      <c r="B90" s="7" t="s">
        <v>1089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1">
        <v>0</v>
      </c>
      <c r="I90" s="21"/>
      <c r="J90" s="21">
        <v>0</v>
      </c>
      <c r="K90" s="21">
        <v>0</v>
      </c>
      <c r="L90" s="22">
        <f t="shared" ref="L90:L91" si="8">SUM(J90+K90)</f>
        <v>0</v>
      </c>
    </row>
    <row r="91" spans="1:12" x14ac:dyDescent="0.25">
      <c r="A91" t="s">
        <v>1140</v>
      </c>
      <c r="B91" s="7" t="s">
        <v>660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1">
        <v>0</v>
      </c>
      <c r="I91" s="21"/>
      <c r="J91" s="21">
        <v>0</v>
      </c>
      <c r="K91" s="21">
        <v>0</v>
      </c>
      <c r="L91" s="22">
        <f t="shared" si="8"/>
        <v>0</v>
      </c>
    </row>
    <row r="92" spans="1:12" x14ac:dyDescent="0.25">
      <c r="C92" s="22"/>
      <c r="D92" s="22"/>
      <c r="E92" s="22"/>
      <c r="F92" s="22"/>
      <c r="G92" s="22"/>
      <c r="H92" s="21"/>
      <c r="I92" s="21"/>
      <c r="J92" s="21"/>
      <c r="K92" s="21"/>
      <c r="L92" s="22"/>
    </row>
    <row r="93" spans="1:12" x14ac:dyDescent="0.25">
      <c r="C93" s="22"/>
      <c r="D93" s="22"/>
      <c r="E93" s="22"/>
      <c r="F93" s="22"/>
      <c r="G93" s="22"/>
      <c r="H93" s="21"/>
      <c r="I93" s="21"/>
      <c r="J93" s="21"/>
      <c r="K93" s="21"/>
      <c r="L93" s="22"/>
    </row>
    <row r="94" spans="1:12" x14ac:dyDescent="0.25">
      <c r="A94" t="s">
        <v>109</v>
      </c>
      <c r="C94" s="22"/>
      <c r="D94" s="22"/>
      <c r="E94" s="22"/>
      <c r="F94" s="22"/>
      <c r="G94" s="22"/>
      <c r="H94" s="21"/>
      <c r="I94" s="21"/>
      <c r="J94" s="21"/>
      <c r="K94" s="21"/>
      <c r="L94" s="22"/>
    </row>
    <row r="95" spans="1:12" x14ac:dyDescent="0.25">
      <c r="B95" t="s">
        <v>530</v>
      </c>
      <c r="C95" s="20">
        <f t="shared" ref="C95:H95" si="9">SUM(C89:C91)</f>
        <v>0</v>
      </c>
      <c r="D95" s="20">
        <f t="shared" si="9"/>
        <v>0</v>
      </c>
      <c r="E95" s="20">
        <f t="shared" si="9"/>
        <v>0</v>
      </c>
      <c r="F95" s="20">
        <f t="shared" si="9"/>
        <v>0</v>
      </c>
      <c r="G95" s="20">
        <f t="shared" si="9"/>
        <v>0</v>
      </c>
      <c r="H95" s="20">
        <f t="shared" si="9"/>
        <v>0</v>
      </c>
      <c r="I95" s="20"/>
      <c r="J95" s="20">
        <f>SUM(J89:J91)</f>
        <v>0</v>
      </c>
      <c r="K95" s="20">
        <f>SUM(K89:K91)</f>
        <v>0</v>
      </c>
      <c r="L95" s="20">
        <f>SUM(L89:L91)</f>
        <v>0</v>
      </c>
    </row>
    <row r="96" spans="1:12" x14ac:dyDescent="0.25">
      <c r="C96" s="22"/>
      <c r="D96" s="22"/>
      <c r="E96" s="22"/>
      <c r="F96" s="22"/>
      <c r="G96" s="22"/>
      <c r="H96" s="21"/>
      <c r="I96" s="21"/>
      <c r="J96" s="21"/>
      <c r="K96" s="21"/>
      <c r="L96" s="22"/>
    </row>
    <row r="97" spans="1:12" x14ac:dyDescent="0.25">
      <c r="C97" s="22"/>
      <c r="D97" s="22"/>
      <c r="E97" s="22"/>
      <c r="F97" s="22"/>
      <c r="G97" s="22"/>
      <c r="H97" s="21"/>
      <c r="I97" s="21"/>
      <c r="J97" s="21"/>
      <c r="K97" s="21"/>
      <c r="L97" s="22"/>
    </row>
    <row r="98" spans="1:12" x14ac:dyDescent="0.25">
      <c r="A98" t="s">
        <v>109</v>
      </c>
      <c r="C98" s="22"/>
      <c r="D98" s="22"/>
      <c r="E98" s="22"/>
      <c r="F98" s="22"/>
      <c r="G98" s="22"/>
      <c r="H98" s="21"/>
      <c r="I98" s="21"/>
      <c r="J98" s="21"/>
      <c r="K98" s="21"/>
      <c r="L98" s="22"/>
    </row>
    <row r="99" spans="1:12" x14ac:dyDescent="0.25">
      <c r="A99">
        <v>22</v>
      </c>
      <c r="B99" t="s">
        <v>3655</v>
      </c>
      <c r="C99" s="20">
        <f t="shared" ref="C99:H99" si="10">C34+C62+C73+C85+C95</f>
        <v>0</v>
      </c>
      <c r="D99" s="20">
        <f t="shared" si="10"/>
        <v>0</v>
      </c>
      <c r="E99" s="20">
        <f t="shared" si="10"/>
        <v>0</v>
      </c>
      <c r="F99" s="20">
        <f t="shared" si="10"/>
        <v>243714</v>
      </c>
      <c r="G99" s="20">
        <f t="shared" si="10"/>
        <v>180073.36999999997</v>
      </c>
      <c r="H99" s="20">
        <f t="shared" si="10"/>
        <v>200834</v>
      </c>
      <c r="I99" s="20"/>
      <c r="J99" s="20">
        <f>J34+J62+J73+J85+J95</f>
        <v>215095.29800000001</v>
      </c>
      <c r="K99" s="20">
        <f>K34+K62+K73+K85+K95</f>
        <v>5000</v>
      </c>
      <c r="L99" s="20">
        <f>L34+L62+L73+L85+L95</f>
        <v>220095.29800000001</v>
      </c>
    </row>
    <row r="100" spans="1:12" x14ac:dyDescent="0.25">
      <c r="C100" s="22"/>
      <c r="D100" s="22"/>
      <c r="E100" s="22"/>
      <c r="F100" s="22"/>
      <c r="G100" s="22"/>
      <c r="H100" s="21"/>
      <c r="I100" s="21"/>
      <c r="J100" s="21"/>
      <c r="K100" s="21"/>
      <c r="L100" s="22"/>
    </row>
    <row r="101" spans="1:12" x14ac:dyDescent="0.25">
      <c r="C101" s="22"/>
      <c r="D101" s="22"/>
      <c r="E101" s="22"/>
      <c r="F101" s="22"/>
      <c r="G101" s="22"/>
      <c r="H101" s="21"/>
      <c r="I101" s="21"/>
      <c r="J101" s="21"/>
      <c r="K101" s="21"/>
      <c r="L101" s="22"/>
    </row>
  </sheetData>
  <sheetProtection algorithmName="SHA-512" hashValue="E6eaxypEURSRYlhB1zIDnibijyM8eJ95J13mzAmzUtIL9NrIbj72BeVYYxPbI7mq9uRyc6aAxHawGr7cnngjRw==" saltValue="NlblaN/cxsVKeJa5pRRZKw==" spinCount="100000" sheet="1" objects="1" scenarios="1" insertRows="0"/>
  <pageMargins left="0.25" right="0.25" top="0.75" bottom="0.75" header="0.3" footer="0.3"/>
  <pageSetup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6F79-7789-441E-8A74-EFF674295AAA}">
  <sheetPr>
    <pageSetUpPr fitToPage="1"/>
  </sheetPr>
  <dimension ref="A1:L95"/>
  <sheetViews>
    <sheetView zoomScaleNormal="100" workbookViewId="0">
      <selection activeCell="J23" sqref="J23"/>
    </sheetView>
  </sheetViews>
  <sheetFormatPr defaultRowHeight="15" x14ac:dyDescent="0.25"/>
  <cols>
    <col min="2" max="2" width="32.5703125" style="7" bestFit="1" customWidth="1"/>
    <col min="3" max="3" width="13.140625" style="12" bestFit="1" customWidth="1"/>
    <col min="4" max="4" width="14.85546875" style="12" bestFit="1" customWidth="1"/>
    <col min="5" max="5" width="13.85546875" style="12" bestFit="1" customWidth="1"/>
    <col min="6" max="6" width="14" style="12" bestFit="1" customWidth="1"/>
    <col min="7" max="7" width="12.7109375" style="12" bestFit="1" customWidth="1"/>
    <col min="8" max="8" width="13.140625" style="11" bestFit="1" customWidth="1"/>
    <col min="9" max="9" width="10.7109375" style="11" customWidth="1"/>
    <col min="10" max="10" width="13.140625" style="11" bestFit="1" customWidth="1"/>
    <col min="11" max="11" width="14.5703125" style="11" bestFit="1" customWidth="1"/>
    <col min="12" max="12" width="14" style="12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3656</v>
      </c>
    </row>
    <row r="11" spans="1:12" x14ac:dyDescent="0.25">
      <c r="A11" t="s">
        <v>441</v>
      </c>
    </row>
    <row r="12" spans="1:12" x14ac:dyDescent="0.25">
      <c r="A12" t="s">
        <v>18</v>
      </c>
      <c r="B12" s="7" t="s">
        <v>228</v>
      </c>
      <c r="C12" s="22"/>
      <c r="D12" s="22"/>
      <c r="E12" s="22"/>
      <c r="F12" s="22"/>
      <c r="G12" s="22"/>
      <c r="H12" s="21"/>
      <c r="I12" s="21"/>
      <c r="J12" s="21"/>
      <c r="K12" s="21"/>
      <c r="L12" s="22"/>
    </row>
    <row r="13" spans="1:12" x14ac:dyDescent="0.25">
      <c r="A13" t="s">
        <v>1144</v>
      </c>
      <c r="B13" s="7" t="s">
        <v>569</v>
      </c>
      <c r="C13" s="22">
        <v>5490</v>
      </c>
      <c r="D13" s="22">
        <v>437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1145</v>
      </c>
      <c r="B14" s="7" t="s">
        <v>396</v>
      </c>
      <c r="C14" s="22">
        <v>231</v>
      </c>
      <c r="D14" s="22">
        <v>71</v>
      </c>
      <c r="E14" s="22">
        <v>965</v>
      </c>
      <c r="F14" s="22">
        <v>2268</v>
      </c>
      <c r="G14" s="22">
        <v>560.11</v>
      </c>
      <c r="H14" s="21">
        <v>600</v>
      </c>
      <c r="I14" s="21"/>
      <c r="J14" s="21">
        <v>567</v>
      </c>
      <c r="K14" s="21">
        <v>0</v>
      </c>
      <c r="L14" s="22">
        <f t="shared" ref="L14:L35" si="0">SUM(J14+K14)</f>
        <v>567</v>
      </c>
    </row>
    <row r="15" spans="1:12" x14ac:dyDescent="0.25">
      <c r="A15" t="s">
        <v>1146</v>
      </c>
      <c r="B15" s="7" t="s">
        <v>398</v>
      </c>
      <c r="C15" s="22">
        <v>16401</v>
      </c>
      <c r="D15" s="22">
        <v>23498</v>
      </c>
      <c r="E15" s="22">
        <v>20532</v>
      </c>
      <c r="F15" s="22">
        <v>28121</v>
      </c>
      <c r="G15" s="22">
        <v>18324.650000000001</v>
      </c>
      <c r="H15" s="21">
        <v>20250</v>
      </c>
      <c r="I15" s="21"/>
      <c r="J15" s="21">
        <v>21644.73</v>
      </c>
      <c r="K15" s="21">
        <v>0</v>
      </c>
      <c r="L15" s="22">
        <f t="shared" si="0"/>
        <v>21644.73</v>
      </c>
    </row>
    <row r="16" spans="1:12" x14ac:dyDescent="0.25">
      <c r="A16" t="s">
        <v>1147</v>
      </c>
      <c r="B16" s="7" t="s">
        <v>400</v>
      </c>
      <c r="C16" s="22">
        <v>18775</v>
      </c>
      <c r="D16" s="22">
        <v>26858</v>
      </c>
      <c r="E16" s="22">
        <v>25421</v>
      </c>
      <c r="F16" s="22">
        <v>31661</v>
      </c>
      <c r="G16" s="22">
        <v>20106.02</v>
      </c>
      <c r="H16" s="21">
        <v>21350</v>
      </c>
      <c r="I16" s="21"/>
      <c r="J16" s="21">
        <f>6617.78+19081.7</f>
        <v>25699.48</v>
      </c>
      <c r="K16" s="21">
        <v>0</v>
      </c>
      <c r="L16" s="22">
        <f t="shared" si="0"/>
        <v>25699.48</v>
      </c>
    </row>
    <row r="17" spans="1:12" x14ac:dyDescent="0.25">
      <c r="A17" t="s">
        <v>1148</v>
      </c>
      <c r="B17" s="7" t="s">
        <v>574</v>
      </c>
      <c r="C17" s="22">
        <v>68003</v>
      </c>
      <c r="D17" s="22">
        <v>83798</v>
      </c>
      <c r="E17" s="22">
        <v>96352</v>
      </c>
      <c r="F17" s="22">
        <v>141906</v>
      </c>
      <c r="G17" s="22">
        <v>66053.710000000006</v>
      </c>
      <c r="H17" s="21">
        <v>72500</v>
      </c>
      <c r="I17" s="21"/>
      <c r="J17" s="21">
        <v>88537.56</v>
      </c>
      <c r="K17" s="21">
        <v>0</v>
      </c>
      <c r="L17" s="22">
        <f t="shared" si="0"/>
        <v>88537.56</v>
      </c>
    </row>
    <row r="18" spans="1:12" x14ac:dyDescent="0.25">
      <c r="A18" t="s">
        <v>1149</v>
      </c>
      <c r="B18" s="7" t="s">
        <v>404</v>
      </c>
      <c r="C18" s="22">
        <v>3164</v>
      </c>
      <c r="D18" s="22">
        <v>3938</v>
      </c>
      <c r="E18" s="22">
        <v>4474</v>
      </c>
      <c r="F18" s="22">
        <v>5232</v>
      </c>
      <c r="G18" s="22">
        <v>3708.28</v>
      </c>
      <c r="H18" s="21">
        <v>4300</v>
      </c>
      <c r="I18" s="21"/>
      <c r="J18" s="21">
        <v>4320</v>
      </c>
      <c r="K18" s="21">
        <v>0</v>
      </c>
      <c r="L18" s="22">
        <f t="shared" si="0"/>
        <v>4320</v>
      </c>
    </row>
    <row r="19" spans="1:12" x14ac:dyDescent="0.25">
      <c r="A19" t="s">
        <v>1150</v>
      </c>
      <c r="B19" s="7" t="s">
        <v>406</v>
      </c>
      <c r="C19" s="22">
        <v>882</v>
      </c>
      <c r="D19" s="22">
        <v>4733</v>
      </c>
      <c r="E19" s="22">
        <v>835</v>
      </c>
      <c r="F19" s="22">
        <v>919</v>
      </c>
      <c r="G19" s="22">
        <v>1485.24</v>
      </c>
      <c r="H19" s="21">
        <v>1485</v>
      </c>
      <c r="I19" s="21"/>
      <c r="J19" s="21">
        <f>G19*10%+G19</f>
        <v>1633.7640000000001</v>
      </c>
      <c r="K19" s="21">
        <v>0</v>
      </c>
      <c r="L19" s="22">
        <f t="shared" si="0"/>
        <v>1633.7640000000001</v>
      </c>
    </row>
    <row r="20" spans="1:12" x14ac:dyDescent="0.25">
      <c r="A20" t="s">
        <v>1151</v>
      </c>
      <c r="B20" s="7" t="s">
        <v>424</v>
      </c>
      <c r="C20" s="22">
        <v>588</v>
      </c>
      <c r="D20" s="22">
        <v>692</v>
      </c>
      <c r="E20" s="22">
        <v>346</v>
      </c>
      <c r="F20" s="22">
        <v>249</v>
      </c>
      <c r="G20" s="22">
        <v>553.62</v>
      </c>
      <c r="H20" s="21">
        <v>554</v>
      </c>
      <c r="I20" s="21"/>
      <c r="J20" s="21">
        <v>553.63</v>
      </c>
      <c r="K20" s="21">
        <v>0</v>
      </c>
      <c r="L20" s="22">
        <f t="shared" si="0"/>
        <v>553.63</v>
      </c>
    </row>
    <row r="21" spans="1:12" x14ac:dyDescent="0.25">
      <c r="A21" t="s">
        <v>1152</v>
      </c>
      <c r="B21" s="7" t="s">
        <v>426</v>
      </c>
      <c r="C21" s="22">
        <v>1620</v>
      </c>
      <c r="D21" s="22">
        <v>1620</v>
      </c>
      <c r="E21" s="22">
        <v>2025</v>
      </c>
      <c r="F21" s="22">
        <v>3239</v>
      </c>
      <c r="G21" s="22">
        <v>1660.88</v>
      </c>
      <c r="H21" s="21">
        <v>1661</v>
      </c>
      <c r="I21" s="21"/>
      <c r="J21" s="21">
        <v>1619.64</v>
      </c>
      <c r="K21" s="21">
        <v>0</v>
      </c>
      <c r="L21" s="22">
        <f t="shared" si="0"/>
        <v>1619.64</v>
      </c>
    </row>
    <row r="22" spans="1:12" x14ac:dyDescent="0.25">
      <c r="A22" t="s">
        <v>1153</v>
      </c>
      <c r="B22" s="7" t="s">
        <v>598</v>
      </c>
      <c r="C22" s="22">
        <v>2400</v>
      </c>
      <c r="D22" s="22">
        <v>2400</v>
      </c>
      <c r="E22" s="22">
        <v>3000</v>
      </c>
      <c r="F22" s="22">
        <v>4800</v>
      </c>
      <c r="G22" s="22">
        <v>1200</v>
      </c>
      <c r="H22" s="21">
        <v>1200</v>
      </c>
      <c r="I22" s="21"/>
      <c r="J22" s="21">
        <v>3600</v>
      </c>
      <c r="K22" s="21">
        <v>0</v>
      </c>
      <c r="L22" s="22">
        <f t="shared" si="0"/>
        <v>3600</v>
      </c>
    </row>
    <row r="23" spans="1:12" x14ac:dyDescent="0.25">
      <c r="A23" t="s">
        <v>1154</v>
      </c>
      <c r="B23" s="7" t="s">
        <v>428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1">
        <v>0</v>
      </c>
      <c r="I23" s="21"/>
      <c r="J23" s="21">
        <v>0</v>
      </c>
      <c r="K23" s="21">
        <v>0</v>
      </c>
      <c r="L23" s="22">
        <f t="shared" si="0"/>
        <v>0</v>
      </c>
    </row>
    <row r="24" spans="1:12" x14ac:dyDescent="0.25">
      <c r="A24" t="s">
        <v>1155</v>
      </c>
      <c r="B24" s="7" t="s">
        <v>430</v>
      </c>
      <c r="C24" s="22">
        <v>173</v>
      </c>
      <c r="D24" s="22">
        <v>138</v>
      </c>
      <c r="E24" s="22">
        <v>208</v>
      </c>
      <c r="F24" s="22">
        <v>277</v>
      </c>
      <c r="G24" s="22">
        <v>207.6</v>
      </c>
      <c r="H24" s="21">
        <v>208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1156</v>
      </c>
      <c r="B25" s="7" t="s">
        <v>1157</v>
      </c>
      <c r="C25" s="22">
        <v>0</v>
      </c>
      <c r="D25" s="22">
        <v>308</v>
      </c>
      <c r="E25" s="22">
        <v>0</v>
      </c>
      <c r="F25" s="22">
        <v>0</v>
      </c>
      <c r="G25" s="22">
        <v>0</v>
      </c>
      <c r="H25" s="21">
        <v>0</v>
      </c>
      <c r="I25" s="21"/>
      <c r="J25" s="21">
        <v>0</v>
      </c>
      <c r="K25" s="21">
        <v>0</v>
      </c>
      <c r="L25" s="22">
        <f t="shared" si="0"/>
        <v>0</v>
      </c>
    </row>
    <row r="26" spans="1:12" x14ac:dyDescent="0.25">
      <c r="A26" t="s">
        <v>1158</v>
      </c>
      <c r="B26" s="7" t="s">
        <v>1159</v>
      </c>
      <c r="C26" s="22">
        <v>45153</v>
      </c>
      <c r="D26" s="22">
        <v>61739</v>
      </c>
      <c r="E26" s="22">
        <v>30761</v>
      </c>
      <c r="F26" s="22">
        <v>52198</v>
      </c>
      <c r="G26" s="22">
        <v>0</v>
      </c>
      <c r="H26" s="21">
        <v>6000</v>
      </c>
      <c r="I26" s="21"/>
      <c r="J26" s="21">
        <v>52000</v>
      </c>
      <c r="K26" s="21">
        <v>0</v>
      </c>
      <c r="L26" s="22">
        <f t="shared" si="0"/>
        <v>52000</v>
      </c>
    </row>
    <row r="27" spans="1:12" x14ac:dyDescent="0.25">
      <c r="A27" t="s">
        <v>1160</v>
      </c>
      <c r="B27" s="7" t="s">
        <v>1161</v>
      </c>
      <c r="C27" s="22">
        <v>138623</v>
      </c>
      <c r="D27" s="22">
        <v>196597</v>
      </c>
      <c r="E27" s="22">
        <v>221340</v>
      </c>
      <c r="F27" s="22">
        <v>292032</v>
      </c>
      <c r="G27" s="22">
        <v>218382.81</v>
      </c>
      <c r="H27" s="21">
        <v>241350</v>
      </c>
      <c r="I27" s="21"/>
      <c r="J27" s="21">
        <v>195164.32</v>
      </c>
      <c r="K27" s="21">
        <v>0</v>
      </c>
      <c r="L27" s="22">
        <f t="shared" si="0"/>
        <v>195164.32</v>
      </c>
    </row>
    <row r="28" spans="1:12" x14ac:dyDescent="0.25">
      <c r="A28" t="s">
        <v>1162</v>
      </c>
      <c r="B28" s="7" t="s">
        <v>978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1163</v>
      </c>
      <c r="B29" s="7" t="s">
        <v>432</v>
      </c>
      <c r="C29" s="22">
        <v>35340</v>
      </c>
      <c r="D29" s="22">
        <v>61965</v>
      </c>
      <c r="E29" s="22">
        <v>28666</v>
      </c>
      <c r="F29" s="22">
        <v>30000</v>
      </c>
      <c r="G29" s="22">
        <v>31492.44</v>
      </c>
      <c r="H29" s="21">
        <v>35000</v>
      </c>
      <c r="I29" s="21"/>
      <c r="J29" s="21">
        <v>30000</v>
      </c>
      <c r="K29" s="21">
        <v>0</v>
      </c>
      <c r="L29" s="22">
        <f t="shared" si="0"/>
        <v>30000</v>
      </c>
    </row>
    <row r="30" spans="1:12" x14ac:dyDescent="0.25">
      <c r="A30" t="s">
        <v>1164</v>
      </c>
      <c r="B30" s="7" t="s">
        <v>434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1">
        <v>0</v>
      </c>
      <c r="I30" s="21"/>
      <c r="J30" s="21">
        <v>0</v>
      </c>
      <c r="K30" s="21">
        <v>0</v>
      </c>
      <c r="L30" s="22">
        <f t="shared" si="0"/>
        <v>0</v>
      </c>
    </row>
    <row r="31" spans="1:12" x14ac:dyDescent="0.25">
      <c r="A31" t="s">
        <v>1165</v>
      </c>
      <c r="B31" s="7" t="s">
        <v>1017</v>
      </c>
      <c r="C31" s="22">
        <v>0</v>
      </c>
      <c r="D31" s="22">
        <v>0</v>
      </c>
      <c r="E31" s="22">
        <v>0</v>
      </c>
      <c r="F31" s="22">
        <v>0</v>
      </c>
      <c r="G31" s="22">
        <v>230.8</v>
      </c>
      <c r="H31" s="21">
        <v>231</v>
      </c>
      <c r="I31" s="21"/>
      <c r="J31" s="21">
        <v>400</v>
      </c>
      <c r="K31" s="21">
        <v>0</v>
      </c>
      <c r="L31" s="22">
        <f t="shared" si="0"/>
        <v>400</v>
      </c>
    </row>
    <row r="32" spans="1:12" x14ac:dyDescent="0.25">
      <c r="A32" t="s">
        <v>1166</v>
      </c>
      <c r="B32" s="7" t="s">
        <v>436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1">
        <v>0</v>
      </c>
      <c r="I32" s="21"/>
      <c r="J32" s="21">
        <v>0</v>
      </c>
      <c r="K32" s="21">
        <v>0</v>
      </c>
      <c r="L32" s="22">
        <f t="shared" si="0"/>
        <v>0</v>
      </c>
    </row>
    <row r="33" spans="1:12" x14ac:dyDescent="0.25">
      <c r="A33" t="s">
        <v>1167</v>
      </c>
      <c r="B33" s="7" t="s">
        <v>1020</v>
      </c>
      <c r="C33" s="22">
        <v>0</v>
      </c>
      <c r="D33" s="22">
        <v>0</v>
      </c>
      <c r="E33" s="22">
        <v>0</v>
      </c>
      <c r="F33" s="22">
        <v>14500</v>
      </c>
      <c r="G33" s="22">
        <v>3138.44</v>
      </c>
      <c r="H33" s="21">
        <v>4200</v>
      </c>
      <c r="I33" s="21"/>
      <c r="J33" s="21">
        <v>5000</v>
      </c>
      <c r="K33" s="21">
        <v>0</v>
      </c>
      <c r="L33" s="22">
        <f t="shared" si="0"/>
        <v>5000</v>
      </c>
    </row>
    <row r="34" spans="1:12" x14ac:dyDescent="0.25">
      <c r="A34" t="s">
        <v>1168</v>
      </c>
      <c r="B34" s="7" t="s">
        <v>1022</v>
      </c>
      <c r="C34" s="22">
        <v>0</v>
      </c>
      <c r="D34" s="22">
        <v>0</v>
      </c>
      <c r="E34" s="22">
        <v>0</v>
      </c>
      <c r="F34" s="22">
        <v>0</v>
      </c>
      <c r="G34" s="22">
        <v>692.35</v>
      </c>
      <c r="H34" s="21">
        <v>692</v>
      </c>
      <c r="I34" s="21"/>
      <c r="J34" s="21">
        <v>1200</v>
      </c>
      <c r="K34" s="21">
        <v>0</v>
      </c>
      <c r="L34" s="22">
        <f t="shared" si="0"/>
        <v>1200</v>
      </c>
    </row>
    <row r="35" spans="1:12" x14ac:dyDescent="0.25">
      <c r="A35" t="s">
        <v>1169</v>
      </c>
      <c r="B35" s="7" t="s">
        <v>607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1">
        <v>0</v>
      </c>
      <c r="I35" s="21"/>
      <c r="J35" s="21">
        <v>0</v>
      </c>
      <c r="K35" s="21">
        <v>0</v>
      </c>
      <c r="L35" s="22">
        <f t="shared" si="0"/>
        <v>0</v>
      </c>
    </row>
    <row r="36" spans="1:12" x14ac:dyDescent="0.25">
      <c r="C36" s="22"/>
      <c r="D36" s="22"/>
      <c r="E36" s="22"/>
      <c r="F36" s="22"/>
      <c r="G36" s="22"/>
      <c r="H36" s="21"/>
      <c r="I36" s="21"/>
      <c r="J36" s="21"/>
      <c r="K36" s="21"/>
      <c r="L36" s="22"/>
    </row>
    <row r="37" spans="1:12" x14ac:dyDescent="0.25">
      <c r="C37" s="22"/>
      <c r="D37" s="22"/>
      <c r="E37" s="22"/>
      <c r="F37" s="22"/>
      <c r="G37" s="22"/>
      <c r="H37" s="21"/>
      <c r="I37" s="21"/>
      <c r="J37" s="21"/>
      <c r="K37" s="21"/>
      <c r="L37" s="22"/>
    </row>
    <row r="38" spans="1:12" x14ac:dyDescent="0.25">
      <c r="A38" t="s">
        <v>109</v>
      </c>
      <c r="C38" s="22"/>
      <c r="D38" s="22"/>
      <c r="E38" s="22"/>
      <c r="F38" s="22"/>
      <c r="G38" s="22"/>
      <c r="H38" s="21"/>
      <c r="I38" s="21"/>
      <c r="J38" s="21"/>
      <c r="K38" s="21"/>
      <c r="L38" s="22"/>
    </row>
    <row r="39" spans="1:12" x14ac:dyDescent="0.25">
      <c r="B39" t="s">
        <v>441</v>
      </c>
      <c r="C39" s="20">
        <f t="shared" ref="C39:H39" si="1">SUM(C13:C35)</f>
        <v>336843</v>
      </c>
      <c r="D39" s="20">
        <f t="shared" si="1"/>
        <v>468792</v>
      </c>
      <c r="E39" s="20">
        <f t="shared" si="1"/>
        <v>434925</v>
      </c>
      <c r="F39" s="20">
        <f t="shared" si="1"/>
        <v>607402</v>
      </c>
      <c r="G39" s="20">
        <f t="shared" si="1"/>
        <v>367796.95</v>
      </c>
      <c r="H39" s="20">
        <f t="shared" si="1"/>
        <v>411581</v>
      </c>
      <c r="I39" s="20"/>
      <c r="J39" s="20">
        <f>SUM(J13:J35)</f>
        <v>431940.12400000001</v>
      </c>
      <c r="K39" s="20">
        <f>SUM(K13:K35)</f>
        <v>0</v>
      </c>
      <c r="L39" s="20">
        <f>SUM(L13:L35)</f>
        <v>431940.12400000001</v>
      </c>
    </row>
    <row r="40" spans="1:12" x14ac:dyDescent="0.25">
      <c r="C40" s="22"/>
      <c r="D40" s="22"/>
      <c r="E40" s="22"/>
      <c r="F40" s="22"/>
      <c r="G40" s="22"/>
      <c r="H40" s="21"/>
      <c r="I40" s="21"/>
      <c r="J40" s="21"/>
      <c r="K40" s="21"/>
      <c r="L40" s="22"/>
    </row>
    <row r="41" spans="1:12" x14ac:dyDescent="0.25">
      <c r="A41" t="s">
        <v>478</v>
      </c>
      <c r="C41" s="22"/>
      <c r="D41" s="22"/>
      <c r="E41" s="22"/>
      <c r="F41" s="22"/>
      <c r="G41" s="22"/>
      <c r="H41" s="21"/>
      <c r="I41" s="21"/>
      <c r="J41" s="21"/>
      <c r="K41" s="21"/>
      <c r="L41" s="22"/>
    </row>
    <row r="42" spans="1:12" x14ac:dyDescent="0.25">
      <c r="A42" t="s">
        <v>18</v>
      </c>
      <c r="B42" s="7" t="s">
        <v>21</v>
      </c>
      <c r="C42" s="22"/>
      <c r="D42" s="22"/>
      <c r="E42" s="22"/>
      <c r="F42" s="22"/>
      <c r="G42" s="22"/>
      <c r="H42" s="21"/>
      <c r="I42" s="21"/>
      <c r="J42" s="21"/>
      <c r="K42" s="21"/>
      <c r="L42" s="22"/>
    </row>
    <row r="43" spans="1:12" x14ac:dyDescent="0.25">
      <c r="A43" t="s">
        <v>1171</v>
      </c>
      <c r="B43" s="7" t="s">
        <v>447</v>
      </c>
      <c r="C43" s="22">
        <v>0</v>
      </c>
      <c r="D43" s="22">
        <v>1131</v>
      </c>
      <c r="E43" s="22">
        <v>9913</v>
      </c>
      <c r="F43" s="22">
        <v>0</v>
      </c>
      <c r="G43" s="22">
        <v>631.37</v>
      </c>
      <c r="H43" s="21">
        <v>650</v>
      </c>
      <c r="I43" s="21"/>
      <c r="J43" s="21">
        <v>1000</v>
      </c>
      <c r="K43" s="21">
        <v>0</v>
      </c>
      <c r="L43" s="22">
        <f>SUM(J43+K43)</f>
        <v>1000</v>
      </c>
    </row>
    <row r="44" spans="1:12" x14ac:dyDescent="0.25">
      <c r="A44" t="s">
        <v>1172</v>
      </c>
      <c r="B44" s="7" t="s">
        <v>449</v>
      </c>
      <c r="C44" s="22">
        <v>423</v>
      </c>
      <c r="D44" s="22">
        <v>3252</v>
      </c>
      <c r="E44" s="22">
        <v>1295</v>
      </c>
      <c r="F44" s="22">
        <v>8000</v>
      </c>
      <c r="G44" s="22">
        <v>2018.72</v>
      </c>
      <c r="H44" s="21">
        <v>2100</v>
      </c>
      <c r="I44" s="21"/>
      <c r="J44" s="21">
        <v>8000</v>
      </c>
      <c r="K44" s="21">
        <v>0</v>
      </c>
      <c r="L44" s="22">
        <f t="shared" ref="L44:L52" si="2">SUM(J44+K44)</f>
        <v>8000</v>
      </c>
    </row>
    <row r="45" spans="1:12" x14ac:dyDescent="0.25">
      <c r="B45" s="7" t="s">
        <v>3647</v>
      </c>
      <c r="C45" s="22"/>
      <c r="D45" s="22"/>
      <c r="E45" s="22"/>
      <c r="F45" s="22"/>
      <c r="G45" s="22"/>
      <c r="H45" s="21"/>
      <c r="I45" s="21">
        <v>8000</v>
      </c>
      <c r="J45" s="21"/>
      <c r="K45" s="21">
        <v>0</v>
      </c>
      <c r="L45" s="22"/>
    </row>
    <row r="46" spans="1:12" x14ac:dyDescent="0.25">
      <c r="A46" t="s">
        <v>1173</v>
      </c>
      <c r="B46" s="7" t="s">
        <v>451</v>
      </c>
      <c r="C46" s="22">
        <v>0</v>
      </c>
      <c r="D46" s="22">
        <v>150</v>
      </c>
      <c r="E46" s="22">
        <v>1692</v>
      </c>
      <c r="F46" s="22">
        <v>12000</v>
      </c>
      <c r="G46" s="22">
        <v>776</v>
      </c>
      <c r="H46" s="21">
        <v>800</v>
      </c>
      <c r="I46" s="21"/>
      <c r="J46" s="21">
        <v>12000</v>
      </c>
      <c r="K46" s="21">
        <v>0</v>
      </c>
      <c r="L46" s="22">
        <f t="shared" si="2"/>
        <v>12000</v>
      </c>
    </row>
    <row r="47" spans="1:12" x14ac:dyDescent="0.25">
      <c r="B47" s="7" t="s">
        <v>3657</v>
      </c>
      <c r="C47" s="22"/>
      <c r="D47" s="22"/>
      <c r="E47" s="22"/>
      <c r="F47" s="22"/>
      <c r="G47" s="22"/>
      <c r="H47" s="21"/>
      <c r="I47" s="21">
        <v>12000</v>
      </c>
      <c r="J47" s="21"/>
      <c r="K47" s="21">
        <v>0</v>
      </c>
      <c r="L47" s="22"/>
    </row>
    <row r="48" spans="1:12" x14ac:dyDescent="0.25">
      <c r="A48" t="s">
        <v>1174</v>
      </c>
      <c r="B48" s="7" t="s">
        <v>459</v>
      </c>
      <c r="C48" s="22">
        <v>115</v>
      </c>
      <c r="D48" s="22">
        <v>460</v>
      </c>
      <c r="E48" s="22">
        <v>579</v>
      </c>
      <c r="F48" s="22">
        <v>448</v>
      </c>
      <c r="G48" s="22">
        <v>359.85</v>
      </c>
      <c r="H48" s="21">
        <v>360</v>
      </c>
      <c r="I48" s="21"/>
      <c r="J48" s="21">
        <v>500</v>
      </c>
      <c r="K48" s="21">
        <v>0</v>
      </c>
      <c r="L48" s="22">
        <f t="shared" si="2"/>
        <v>500</v>
      </c>
    </row>
    <row r="49" spans="1:12" x14ac:dyDescent="0.25">
      <c r="A49" t="s">
        <v>1175</v>
      </c>
      <c r="B49" s="7" t="s">
        <v>1176</v>
      </c>
      <c r="C49" s="22">
        <v>0</v>
      </c>
      <c r="D49" s="22">
        <v>0</v>
      </c>
      <c r="E49" s="22">
        <v>0</v>
      </c>
      <c r="F49" s="22">
        <v>1000</v>
      </c>
      <c r="G49" s="22">
        <v>0</v>
      </c>
      <c r="H49" s="21">
        <v>0</v>
      </c>
      <c r="I49" s="21"/>
      <c r="J49" s="21">
        <v>1000</v>
      </c>
      <c r="K49" s="21">
        <v>0</v>
      </c>
      <c r="L49" s="22">
        <f t="shared" si="2"/>
        <v>1000</v>
      </c>
    </row>
    <row r="50" spans="1:12" x14ac:dyDescent="0.25">
      <c r="A50" t="s">
        <v>1177</v>
      </c>
      <c r="B50" s="7" t="s">
        <v>1060</v>
      </c>
      <c r="C50" s="22">
        <v>0</v>
      </c>
      <c r="D50" s="22">
        <v>1150</v>
      </c>
      <c r="E50" s="22">
        <v>1210</v>
      </c>
      <c r="F50" s="22">
        <v>2500</v>
      </c>
      <c r="G50" s="22">
        <v>1090.6300000000001</v>
      </c>
      <c r="H50" s="21">
        <v>1100</v>
      </c>
      <c r="I50" s="21"/>
      <c r="J50" s="21">
        <v>2500</v>
      </c>
      <c r="K50" s="21">
        <v>0</v>
      </c>
      <c r="L50" s="22">
        <f t="shared" si="2"/>
        <v>2500</v>
      </c>
    </row>
    <row r="51" spans="1:12" x14ac:dyDescent="0.25">
      <c r="B51" s="7" t="s">
        <v>3658</v>
      </c>
      <c r="C51" s="22"/>
      <c r="D51" s="22"/>
      <c r="E51" s="22"/>
      <c r="F51" s="22"/>
      <c r="G51" s="22"/>
      <c r="H51" s="21"/>
      <c r="I51" s="21">
        <v>2500</v>
      </c>
      <c r="J51" s="21">
        <v>0</v>
      </c>
      <c r="K51" s="21">
        <v>0</v>
      </c>
      <c r="L51" s="22"/>
    </row>
    <row r="52" spans="1:12" x14ac:dyDescent="0.25">
      <c r="A52" t="s">
        <v>1178</v>
      </c>
      <c r="B52" s="7" t="s">
        <v>477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1">
        <v>0</v>
      </c>
      <c r="I52" s="21"/>
      <c r="J52" s="21">
        <v>0</v>
      </c>
      <c r="K52" s="21">
        <v>0</v>
      </c>
      <c r="L52" s="22">
        <f t="shared" si="2"/>
        <v>0</v>
      </c>
    </row>
    <row r="53" spans="1:12" x14ac:dyDescent="0.25">
      <c r="C53" s="22"/>
      <c r="D53" s="22"/>
      <c r="E53" s="22"/>
      <c r="F53" s="22"/>
      <c r="G53" s="22"/>
      <c r="H53" s="21"/>
      <c r="I53" s="21"/>
      <c r="J53" s="21"/>
      <c r="K53" s="21"/>
      <c r="L53" s="22"/>
    </row>
    <row r="54" spans="1:12" x14ac:dyDescent="0.25">
      <c r="C54" s="22"/>
      <c r="D54" s="22"/>
      <c r="E54" s="22"/>
      <c r="F54" s="22"/>
      <c r="G54" s="22"/>
      <c r="H54" s="21"/>
      <c r="I54" s="21"/>
      <c r="J54" s="21"/>
      <c r="K54" s="21"/>
      <c r="L54" s="22"/>
    </row>
    <row r="55" spans="1:12" x14ac:dyDescent="0.25">
      <c r="A55" t="s">
        <v>109</v>
      </c>
      <c r="C55" s="22"/>
      <c r="D55" s="22"/>
      <c r="E55" s="22"/>
      <c r="F55" s="22"/>
      <c r="G55" s="22"/>
      <c r="H55" s="21"/>
      <c r="I55" s="21"/>
      <c r="J55" s="21"/>
      <c r="K55" s="21"/>
      <c r="L55" s="22"/>
    </row>
    <row r="56" spans="1:12" x14ac:dyDescent="0.25">
      <c r="B56" t="s">
        <v>478</v>
      </c>
      <c r="C56" s="20">
        <f t="shared" ref="C56:H56" si="3">SUM(C43:C52)</f>
        <v>538</v>
      </c>
      <c r="D56" s="20">
        <f t="shared" si="3"/>
        <v>6143</v>
      </c>
      <c r="E56" s="20">
        <f t="shared" si="3"/>
        <v>14689</v>
      </c>
      <c r="F56" s="20">
        <f t="shared" si="3"/>
        <v>23948</v>
      </c>
      <c r="G56" s="20">
        <f t="shared" si="3"/>
        <v>4876.57</v>
      </c>
      <c r="H56" s="20">
        <f t="shared" si="3"/>
        <v>5010</v>
      </c>
      <c r="I56" s="20"/>
      <c r="J56" s="20">
        <f>SUM(J43:J52)</f>
        <v>25000</v>
      </c>
      <c r="K56" s="20">
        <f>SUM(K43:K52)</f>
        <v>0</v>
      </c>
      <c r="L56" s="20">
        <f>SUM(L43:L52)</f>
        <v>25000</v>
      </c>
    </row>
    <row r="57" spans="1:12" x14ac:dyDescent="0.25">
      <c r="C57" s="22"/>
      <c r="D57" s="22"/>
      <c r="E57" s="22"/>
      <c r="F57" s="22"/>
      <c r="G57" s="22"/>
      <c r="H57" s="21"/>
      <c r="I57" s="21"/>
      <c r="J57" s="21"/>
      <c r="K57" s="21"/>
      <c r="L57" s="22"/>
    </row>
    <row r="58" spans="1:12" x14ac:dyDescent="0.25">
      <c r="A58" t="s">
        <v>489</v>
      </c>
      <c r="C58" s="22"/>
      <c r="D58" s="22"/>
      <c r="E58" s="22"/>
      <c r="F58" s="22"/>
      <c r="G58" s="22"/>
      <c r="H58" s="21"/>
      <c r="I58" s="21"/>
      <c r="J58" s="21"/>
      <c r="K58" s="21"/>
      <c r="L58" s="22"/>
    </row>
    <row r="59" spans="1:12" x14ac:dyDescent="0.25">
      <c r="A59" t="s">
        <v>18</v>
      </c>
      <c r="C59" s="22"/>
      <c r="D59" s="22"/>
      <c r="E59" s="22"/>
      <c r="F59" s="22"/>
      <c r="G59" s="22"/>
      <c r="H59" s="21"/>
      <c r="I59" s="21"/>
      <c r="J59" s="21"/>
      <c r="K59" s="21"/>
      <c r="L59" s="22"/>
    </row>
    <row r="60" spans="1:12" x14ac:dyDescent="0.25">
      <c r="A60" t="s">
        <v>1179</v>
      </c>
      <c r="B60" s="7" t="s">
        <v>493</v>
      </c>
      <c r="C60" s="22">
        <v>0</v>
      </c>
      <c r="D60" s="22">
        <v>0</v>
      </c>
      <c r="E60" s="22">
        <v>0</v>
      </c>
      <c r="F60" s="22">
        <v>0</v>
      </c>
      <c r="G60" s="22">
        <v>100.15</v>
      </c>
      <c r="H60" s="21">
        <v>100</v>
      </c>
      <c r="I60" s="21"/>
      <c r="J60" s="21">
        <v>100</v>
      </c>
      <c r="K60" s="21">
        <v>0</v>
      </c>
      <c r="L60" s="22">
        <f>SUM(J60+K60)</f>
        <v>100</v>
      </c>
    </row>
    <row r="61" spans="1:12" x14ac:dyDescent="0.25">
      <c r="A61" t="s">
        <v>1180</v>
      </c>
      <c r="B61" s="7" t="s">
        <v>489</v>
      </c>
      <c r="C61" s="22">
        <v>2400</v>
      </c>
      <c r="D61" s="22">
        <v>2911</v>
      </c>
      <c r="E61" s="22">
        <v>4006</v>
      </c>
      <c r="F61" s="22">
        <v>3600</v>
      </c>
      <c r="G61" s="22">
        <v>4106.96</v>
      </c>
      <c r="H61" s="21">
        <v>4500</v>
      </c>
      <c r="I61" s="21"/>
      <c r="J61" s="21">
        <v>4000</v>
      </c>
      <c r="K61" s="21">
        <v>0</v>
      </c>
      <c r="L61" s="22">
        <f t="shared" ref="L61:L64" si="4">SUM(J61+K61)</f>
        <v>4000</v>
      </c>
    </row>
    <row r="62" spans="1:12" x14ac:dyDescent="0.25">
      <c r="B62" s="7" t="s">
        <v>3659</v>
      </c>
      <c r="C62" s="22"/>
      <c r="D62" s="22"/>
      <c r="E62" s="22"/>
      <c r="F62" s="22"/>
      <c r="G62" s="22"/>
      <c r="H62" s="21"/>
      <c r="I62" s="21">
        <v>4000</v>
      </c>
      <c r="J62" s="21">
        <v>0</v>
      </c>
      <c r="K62" s="21">
        <v>0</v>
      </c>
      <c r="L62" s="22"/>
    </row>
    <row r="63" spans="1:12" hidden="1" x14ac:dyDescent="0.25">
      <c r="A63" t="s">
        <v>1181</v>
      </c>
      <c r="B63" s="7" t="s">
        <v>498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1">
        <v>0</v>
      </c>
      <c r="I63" s="21"/>
      <c r="J63" s="21">
        <v>0</v>
      </c>
      <c r="K63" s="21">
        <v>0</v>
      </c>
      <c r="L63" s="22">
        <f t="shared" si="4"/>
        <v>0</v>
      </c>
    </row>
    <row r="64" spans="1:12" hidden="1" x14ac:dyDescent="0.25">
      <c r="A64" t="s">
        <v>1182</v>
      </c>
      <c r="B64" s="7" t="s">
        <v>500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1">
        <v>0</v>
      </c>
      <c r="I64" s="21"/>
      <c r="J64" s="21">
        <v>0</v>
      </c>
      <c r="K64" s="21">
        <v>0</v>
      </c>
      <c r="L64" s="22">
        <f t="shared" si="4"/>
        <v>0</v>
      </c>
    </row>
    <row r="65" spans="1:12" x14ac:dyDescent="0.25">
      <c r="C65" s="22"/>
      <c r="D65" s="22"/>
      <c r="E65" s="22"/>
      <c r="F65" s="22"/>
      <c r="G65" s="22"/>
      <c r="H65" s="21"/>
      <c r="I65" s="21"/>
      <c r="J65" s="21"/>
      <c r="K65" s="21"/>
      <c r="L65" s="22"/>
    </row>
    <row r="66" spans="1:12" x14ac:dyDescent="0.25">
      <c r="C66" s="22"/>
      <c r="D66" s="22"/>
      <c r="E66" s="22"/>
      <c r="F66" s="22"/>
      <c r="G66" s="22"/>
      <c r="H66" s="21"/>
      <c r="I66" s="21"/>
      <c r="J66" s="21"/>
      <c r="K66" s="21"/>
      <c r="L66" s="22"/>
    </row>
    <row r="67" spans="1:12" x14ac:dyDescent="0.25">
      <c r="A67" t="s">
        <v>109</v>
      </c>
      <c r="C67" s="22"/>
      <c r="D67" s="22"/>
      <c r="E67" s="22"/>
      <c r="F67" s="22"/>
      <c r="G67" s="22"/>
      <c r="H67" s="21"/>
      <c r="I67" s="21"/>
      <c r="J67" s="21"/>
      <c r="K67" s="21"/>
      <c r="L67" s="22"/>
    </row>
    <row r="68" spans="1:12" x14ac:dyDescent="0.25">
      <c r="B68" t="s">
        <v>489</v>
      </c>
      <c r="C68" s="20">
        <f t="shared" ref="C68:H68" si="5">SUM(C60:C64)</f>
        <v>2400</v>
      </c>
      <c r="D68" s="20">
        <f t="shared" si="5"/>
        <v>2911</v>
      </c>
      <c r="E68" s="20">
        <f t="shared" si="5"/>
        <v>4006</v>
      </c>
      <c r="F68" s="20">
        <f t="shared" si="5"/>
        <v>3600</v>
      </c>
      <c r="G68" s="20">
        <f t="shared" si="5"/>
        <v>4207.1099999999997</v>
      </c>
      <c r="H68" s="20">
        <f t="shared" si="5"/>
        <v>4600</v>
      </c>
      <c r="I68" s="20"/>
      <c r="J68" s="20">
        <f>SUM(J60:J64)</f>
        <v>4100</v>
      </c>
      <c r="K68" s="20">
        <f>SUM(K60:K64)</f>
        <v>0</v>
      </c>
      <c r="L68" s="20">
        <f>SUM(L60:L64)</f>
        <v>4100</v>
      </c>
    </row>
    <row r="69" spans="1:12" x14ac:dyDescent="0.25">
      <c r="C69" s="22"/>
      <c r="D69" s="22"/>
      <c r="E69" s="22"/>
      <c r="F69" s="22"/>
      <c r="G69" s="22"/>
      <c r="H69" s="21"/>
      <c r="I69" s="21"/>
      <c r="J69" s="21"/>
      <c r="K69" s="21"/>
      <c r="L69" s="22"/>
    </row>
    <row r="70" spans="1:12" x14ac:dyDescent="0.25">
      <c r="A70" t="s">
        <v>501</v>
      </c>
      <c r="C70" s="22"/>
      <c r="D70" s="22"/>
      <c r="E70" s="22"/>
      <c r="F70" s="22"/>
      <c r="G70" s="22"/>
      <c r="H70" s="21"/>
      <c r="I70" s="21"/>
      <c r="J70" s="21"/>
      <c r="K70" s="21"/>
      <c r="L70" s="22"/>
    </row>
    <row r="71" spans="1:12" x14ac:dyDescent="0.25">
      <c r="A71" t="s">
        <v>18</v>
      </c>
      <c r="C71" s="22"/>
      <c r="D71" s="22"/>
      <c r="E71" s="22"/>
      <c r="F71" s="22"/>
      <c r="G71" s="22"/>
      <c r="H71" s="21"/>
      <c r="I71" s="21"/>
      <c r="J71" s="21"/>
      <c r="K71" s="21"/>
      <c r="L71" s="22"/>
    </row>
    <row r="72" spans="1:12" x14ac:dyDescent="0.25">
      <c r="A72" t="s">
        <v>1183</v>
      </c>
      <c r="B72" s="7" t="s">
        <v>1184</v>
      </c>
      <c r="C72" s="22">
        <v>15038</v>
      </c>
      <c r="D72" s="22">
        <v>25063</v>
      </c>
      <c r="E72" s="22">
        <v>16363</v>
      </c>
      <c r="F72" s="22">
        <v>26650</v>
      </c>
      <c r="G72" s="22">
        <v>5012.5</v>
      </c>
      <c r="H72" s="21">
        <v>5013</v>
      </c>
      <c r="I72" s="21"/>
      <c r="J72" s="21">
        <v>0</v>
      </c>
      <c r="K72" s="21">
        <v>0</v>
      </c>
      <c r="L72" s="22">
        <f>SUM(J72+K72)</f>
        <v>0</v>
      </c>
    </row>
    <row r="73" spans="1:12" x14ac:dyDescent="0.25">
      <c r="A73" t="s">
        <v>1185</v>
      </c>
      <c r="B73" s="7" t="s">
        <v>519</v>
      </c>
      <c r="C73" s="22">
        <v>45</v>
      </c>
      <c r="D73" s="22">
        <v>0</v>
      </c>
      <c r="E73" s="22">
        <v>0</v>
      </c>
      <c r="F73" s="22">
        <v>1000</v>
      </c>
      <c r="G73" s="22">
        <v>0</v>
      </c>
      <c r="H73" s="21">
        <v>0</v>
      </c>
      <c r="I73" s="21"/>
      <c r="J73" s="21">
        <v>0</v>
      </c>
      <c r="K73" s="21">
        <v>0</v>
      </c>
      <c r="L73" s="22">
        <f t="shared" ref="L73:L74" si="6">SUM(J73+K73)</f>
        <v>0</v>
      </c>
    </row>
    <row r="74" spans="1:12" x14ac:dyDescent="0.25">
      <c r="A74" t="s">
        <v>1186</v>
      </c>
      <c r="B74" s="7" t="s">
        <v>521</v>
      </c>
      <c r="C74" s="22">
        <v>17816</v>
      </c>
      <c r="D74" s="22">
        <v>5212</v>
      </c>
      <c r="E74" s="22">
        <v>750</v>
      </c>
      <c r="F74" s="22">
        <v>4200</v>
      </c>
      <c r="G74" s="22">
        <v>1250</v>
      </c>
      <c r="H74" s="21">
        <v>1500</v>
      </c>
      <c r="I74" s="21"/>
      <c r="J74" s="21">
        <v>2000</v>
      </c>
      <c r="K74" s="21">
        <v>0</v>
      </c>
      <c r="L74" s="22">
        <f t="shared" si="6"/>
        <v>2000</v>
      </c>
    </row>
    <row r="75" spans="1:12" x14ac:dyDescent="0.25">
      <c r="B75" s="7" t="s">
        <v>3660</v>
      </c>
      <c r="C75" s="22"/>
      <c r="D75" s="22"/>
      <c r="E75" s="22"/>
      <c r="F75" s="22"/>
      <c r="G75" s="22"/>
      <c r="H75" s="21"/>
      <c r="I75" s="21">
        <v>2000</v>
      </c>
      <c r="J75" s="21"/>
      <c r="K75" s="21"/>
      <c r="L75" s="22"/>
    </row>
    <row r="76" spans="1:12" x14ac:dyDescent="0.25">
      <c r="C76" s="22"/>
      <c r="D76" s="22"/>
      <c r="E76" s="22"/>
      <c r="F76" s="22"/>
      <c r="G76" s="22"/>
      <c r="H76" s="21"/>
      <c r="I76" s="21"/>
      <c r="J76" s="21"/>
      <c r="K76" s="21"/>
      <c r="L76" s="22"/>
    </row>
    <row r="77" spans="1:12" x14ac:dyDescent="0.25">
      <c r="C77" s="22"/>
      <c r="D77" s="22"/>
      <c r="E77" s="22"/>
      <c r="F77" s="22"/>
      <c r="G77" s="22"/>
      <c r="H77" s="21"/>
      <c r="I77" s="21"/>
      <c r="J77" s="21"/>
      <c r="K77" s="21"/>
      <c r="L77" s="22"/>
    </row>
    <row r="78" spans="1:12" x14ac:dyDescent="0.25">
      <c r="A78" t="s">
        <v>109</v>
      </c>
      <c r="C78" s="22"/>
      <c r="D78" s="22"/>
      <c r="E78" s="22"/>
      <c r="F78" s="22"/>
      <c r="G78" s="22"/>
      <c r="H78" s="21"/>
      <c r="I78" s="21"/>
      <c r="J78" s="21"/>
      <c r="K78" s="21"/>
      <c r="L78" s="22"/>
    </row>
    <row r="79" spans="1:12" x14ac:dyDescent="0.25">
      <c r="B79" t="s">
        <v>501</v>
      </c>
      <c r="C79" s="20">
        <f t="shared" ref="C79:H79" si="7">SUM(C72:C74)</f>
        <v>32899</v>
      </c>
      <c r="D79" s="20">
        <f t="shared" si="7"/>
        <v>30275</v>
      </c>
      <c r="E79" s="20">
        <f t="shared" si="7"/>
        <v>17113</v>
      </c>
      <c r="F79" s="20">
        <f t="shared" si="7"/>
        <v>31850</v>
      </c>
      <c r="G79" s="20">
        <f t="shared" si="7"/>
        <v>6262.5</v>
      </c>
      <c r="H79" s="20">
        <f t="shared" si="7"/>
        <v>6513</v>
      </c>
      <c r="I79" s="20"/>
      <c r="J79" s="20">
        <f>SUM(J72:J74)</f>
        <v>2000</v>
      </c>
      <c r="K79" s="20">
        <f>SUM(K72:K74)</f>
        <v>0</v>
      </c>
      <c r="L79" s="20">
        <f>SUM(L72:L74)</f>
        <v>2000</v>
      </c>
    </row>
    <row r="80" spans="1:12" x14ac:dyDescent="0.25">
      <c r="C80" s="22"/>
      <c r="D80" s="22"/>
      <c r="E80" s="22"/>
      <c r="F80" s="22"/>
      <c r="G80" s="22"/>
      <c r="H80" s="21"/>
      <c r="I80" s="21"/>
      <c r="J80" s="21"/>
      <c r="K80" s="21"/>
      <c r="L80" s="22"/>
    </row>
    <row r="81" spans="1:12" x14ac:dyDescent="0.25">
      <c r="A81" t="s">
        <v>530</v>
      </c>
      <c r="C81" s="22"/>
      <c r="D81" s="22"/>
      <c r="E81" s="22"/>
      <c r="F81" s="22"/>
      <c r="G81" s="22"/>
      <c r="H81" s="21"/>
      <c r="I81" s="21"/>
      <c r="J81" s="21"/>
      <c r="K81" s="21"/>
      <c r="L81" s="22"/>
    </row>
    <row r="82" spans="1:12" x14ac:dyDescent="0.25">
      <c r="A82" t="s">
        <v>18</v>
      </c>
      <c r="B82" s="7" t="s">
        <v>526</v>
      </c>
      <c r="C82" s="22"/>
      <c r="D82" s="22"/>
      <c r="E82" s="22"/>
      <c r="F82" s="22"/>
      <c r="G82" s="22"/>
      <c r="H82" s="21"/>
      <c r="I82" s="21"/>
      <c r="J82" s="21"/>
      <c r="K82" s="21"/>
      <c r="L82" s="22"/>
    </row>
    <row r="83" spans="1:12" x14ac:dyDescent="0.25">
      <c r="A83" t="s">
        <v>1187</v>
      </c>
      <c r="B83" s="7" t="s">
        <v>530</v>
      </c>
      <c r="C83" s="22">
        <v>0</v>
      </c>
      <c r="D83" s="22">
        <v>0</v>
      </c>
      <c r="E83" s="22">
        <v>4789</v>
      </c>
      <c r="F83" s="22">
        <v>0</v>
      </c>
      <c r="G83" s="22">
        <v>0</v>
      </c>
      <c r="H83" s="21">
        <v>0</v>
      </c>
      <c r="I83" s="21"/>
      <c r="J83" s="21">
        <v>0</v>
      </c>
      <c r="K83" s="21">
        <v>0</v>
      </c>
      <c r="L83" s="22">
        <f>SUM(J83+K83)</f>
        <v>0</v>
      </c>
    </row>
    <row r="84" spans="1:12" x14ac:dyDescent="0.25">
      <c r="A84" t="s">
        <v>1188</v>
      </c>
      <c r="B84" s="7" t="s">
        <v>534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1">
        <v>0</v>
      </c>
      <c r="I84" s="21"/>
      <c r="J84" s="21">
        <v>3000</v>
      </c>
      <c r="K84" s="21">
        <v>3000</v>
      </c>
      <c r="L84" s="22">
        <f t="shared" ref="L84:L86" si="8">SUM(J84+K84)</f>
        <v>6000</v>
      </c>
    </row>
    <row r="85" spans="1:12" x14ac:dyDescent="0.25">
      <c r="B85" s="7" t="s">
        <v>3661</v>
      </c>
      <c r="C85" s="22"/>
      <c r="D85" s="22"/>
      <c r="E85" s="22"/>
      <c r="F85" s="22"/>
      <c r="G85" s="22"/>
      <c r="H85" s="21"/>
      <c r="I85" s="21"/>
      <c r="J85" s="21"/>
      <c r="K85" s="21"/>
      <c r="L85" s="22"/>
    </row>
    <row r="86" spans="1:12" x14ac:dyDescent="0.25">
      <c r="A86" t="s">
        <v>1189</v>
      </c>
      <c r="B86" s="7" t="s">
        <v>1190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1">
        <v>0</v>
      </c>
      <c r="I86" s="21"/>
      <c r="J86" s="21">
        <v>0</v>
      </c>
      <c r="K86" s="21">
        <v>0</v>
      </c>
      <c r="L86" s="22">
        <f t="shared" si="8"/>
        <v>0</v>
      </c>
    </row>
    <row r="87" spans="1:12" x14ac:dyDescent="0.25">
      <c r="C87" s="22"/>
      <c r="D87" s="22"/>
      <c r="E87" s="22"/>
      <c r="F87" s="22"/>
      <c r="G87" s="22"/>
      <c r="H87" s="21"/>
      <c r="I87" s="21"/>
      <c r="J87" s="21"/>
      <c r="K87" s="21"/>
      <c r="L87" s="22"/>
    </row>
    <row r="88" spans="1:12" x14ac:dyDescent="0.25">
      <c r="C88" s="22"/>
      <c r="D88" s="22"/>
      <c r="E88" s="22"/>
      <c r="F88" s="22"/>
      <c r="G88" s="22"/>
      <c r="H88" s="21"/>
      <c r="I88" s="21"/>
      <c r="J88" s="21"/>
      <c r="K88" s="21"/>
      <c r="L88" s="22"/>
    </row>
    <row r="89" spans="1:12" x14ac:dyDescent="0.25">
      <c r="A89" t="s">
        <v>109</v>
      </c>
      <c r="C89" s="22"/>
      <c r="D89" s="22"/>
      <c r="E89" s="22"/>
      <c r="F89" s="22"/>
      <c r="G89" s="22"/>
      <c r="H89" s="21"/>
      <c r="I89" s="21"/>
      <c r="J89" s="21"/>
      <c r="K89" s="21"/>
      <c r="L89" s="22"/>
    </row>
    <row r="90" spans="1:12" x14ac:dyDescent="0.25">
      <c r="B90" t="s">
        <v>530</v>
      </c>
      <c r="C90" s="20">
        <f t="shared" ref="C90:H90" si="9">SUM(C83:C86)</f>
        <v>0</v>
      </c>
      <c r="D90" s="20">
        <f t="shared" si="9"/>
        <v>0</v>
      </c>
      <c r="E90" s="20">
        <f t="shared" si="9"/>
        <v>4789</v>
      </c>
      <c r="F90" s="20">
        <f t="shared" si="9"/>
        <v>0</v>
      </c>
      <c r="G90" s="20">
        <f t="shared" si="9"/>
        <v>0</v>
      </c>
      <c r="H90" s="20">
        <f t="shared" si="9"/>
        <v>0</v>
      </c>
      <c r="I90" s="20"/>
      <c r="J90" s="20">
        <f>SUM(J83:J86)</f>
        <v>3000</v>
      </c>
      <c r="K90" s="20">
        <f>SUM(K83:K86)</f>
        <v>3000</v>
      </c>
      <c r="L90" s="20">
        <f>SUM(L83:L86)</f>
        <v>6000</v>
      </c>
    </row>
    <row r="91" spans="1:12" x14ac:dyDescent="0.25">
      <c r="C91" s="22"/>
      <c r="D91" s="22"/>
      <c r="E91" s="22"/>
      <c r="F91" s="22"/>
      <c r="G91" s="22"/>
      <c r="H91" s="21"/>
      <c r="I91" s="21"/>
      <c r="J91" s="21"/>
      <c r="K91" s="21"/>
      <c r="L91" s="22"/>
    </row>
    <row r="92" spans="1:12" x14ac:dyDescent="0.25">
      <c r="C92" s="22"/>
      <c r="D92" s="22"/>
      <c r="E92" s="22"/>
      <c r="F92" s="22"/>
      <c r="G92" s="22"/>
      <c r="H92" s="21"/>
      <c r="I92" s="21"/>
      <c r="J92" s="21"/>
      <c r="K92" s="21"/>
      <c r="L92" s="22"/>
    </row>
    <row r="93" spans="1:12" x14ac:dyDescent="0.25">
      <c r="A93" t="s">
        <v>109</v>
      </c>
      <c r="C93" s="22"/>
      <c r="D93" s="22"/>
      <c r="E93" s="22"/>
      <c r="F93" s="22"/>
      <c r="G93" s="22"/>
      <c r="H93" s="21"/>
      <c r="I93" s="21"/>
      <c r="J93" s="21"/>
      <c r="K93" s="21"/>
      <c r="L93" s="22"/>
    </row>
    <row r="94" spans="1:12" x14ac:dyDescent="0.25">
      <c r="A94">
        <v>25</v>
      </c>
      <c r="B94" t="s">
        <v>3662</v>
      </c>
      <c r="C94" s="20">
        <f t="shared" ref="C94:H94" si="10">C39+C56+C68+C79+C90</f>
        <v>372680</v>
      </c>
      <c r="D94" s="20">
        <f t="shared" si="10"/>
        <v>508121</v>
      </c>
      <c r="E94" s="20">
        <f t="shared" si="10"/>
        <v>475522</v>
      </c>
      <c r="F94" s="20">
        <f t="shared" si="10"/>
        <v>666800</v>
      </c>
      <c r="G94" s="20">
        <f t="shared" si="10"/>
        <v>383143.13</v>
      </c>
      <c r="H94" s="20">
        <f t="shared" si="10"/>
        <v>427704</v>
      </c>
      <c r="I94" s="20"/>
      <c r="J94" s="20">
        <f>J39+J56+J68+J79+J90</f>
        <v>466040.12400000001</v>
      </c>
      <c r="K94" s="20">
        <f>K39+K56+K68+K79+K90</f>
        <v>3000</v>
      </c>
      <c r="L94" s="20">
        <f>L39+L56+L68+L79+L90</f>
        <v>469040.12400000001</v>
      </c>
    </row>
    <row r="95" spans="1:12" x14ac:dyDescent="0.25">
      <c r="C95" s="22"/>
      <c r="D95" s="22"/>
      <c r="E95" s="22"/>
      <c r="F95" s="22"/>
      <c r="G95" s="22"/>
      <c r="H95" s="21"/>
      <c r="I95" s="21"/>
      <c r="J95" s="21"/>
      <c r="K95" s="21"/>
      <c r="L95" s="22"/>
    </row>
  </sheetData>
  <sheetProtection algorithmName="SHA-512" hashValue="P+V2PuDMcQ0+CJtbsvVJxFkQyPj5TatbpmhUvMp3nlellPsCZCUO9xjo/2zVkDEy0fsJ7Q329b5JZVho5+R38w==" saltValue="1asiuM3raGGxUoeXCmwsvg==" spinCount="100000" sheet="1" objects="1" scenarios="1" insertRows="0"/>
  <pageMargins left="0.25" right="0.25" top="0.75" bottom="0.75" header="0.3" footer="0.3"/>
  <pageSetup scale="7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F4F92-1E22-4FCE-8682-A6C62E1A35F4}">
  <sheetPr>
    <pageSetUpPr fitToPage="1"/>
  </sheetPr>
  <dimension ref="A1:L129"/>
  <sheetViews>
    <sheetView zoomScaleNormal="100" workbookViewId="0">
      <selection activeCell="J19" sqref="J19"/>
    </sheetView>
  </sheetViews>
  <sheetFormatPr defaultRowHeight="15" x14ac:dyDescent="0.25"/>
  <cols>
    <col min="2" max="2" width="32.5703125" style="7" bestFit="1" customWidth="1"/>
    <col min="3" max="6" width="14.28515625" style="12" bestFit="1" customWidth="1"/>
    <col min="7" max="7" width="12.85546875" style="12" bestFit="1" customWidth="1"/>
    <col min="8" max="8" width="13.28515625" style="11" bestFit="1" customWidth="1"/>
    <col min="9" max="9" width="10.7109375" style="11" customWidth="1"/>
    <col min="10" max="10" width="13.28515625" style="11" bestFit="1" customWidth="1"/>
    <col min="11" max="11" width="14.7109375" style="11" bestFit="1" customWidth="1"/>
    <col min="12" max="12" width="14.140625" style="12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3663</v>
      </c>
    </row>
    <row r="11" spans="1:12" x14ac:dyDescent="0.25">
      <c r="A11" t="s">
        <v>441</v>
      </c>
    </row>
    <row r="12" spans="1:12" x14ac:dyDescent="0.25">
      <c r="A12" t="s">
        <v>18</v>
      </c>
      <c r="B12" s="7" t="s">
        <v>228</v>
      </c>
    </row>
    <row r="13" spans="1:12" x14ac:dyDescent="0.25">
      <c r="A13" t="s">
        <v>1192</v>
      </c>
      <c r="B13" s="7" t="s">
        <v>569</v>
      </c>
      <c r="C13" s="22">
        <v>-3191</v>
      </c>
      <c r="D13" s="22">
        <v>3299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1193</v>
      </c>
      <c r="B14" s="7" t="s">
        <v>396</v>
      </c>
      <c r="C14" s="22">
        <v>344</v>
      </c>
      <c r="D14" s="22">
        <v>88</v>
      </c>
      <c r="E14" s="22">
        <v>1259</v>
      </c>
      <c r="F14" s="22">
        <v>2772</v>
      </c>
      <c r="G14" s="22">
        <v>646.37</v>
      </c>
      <c r="H14" s="21">
        <v>695</v>
      </c>
      <c r="I14" s="21"/>
      <c r="J14" s="21">
        <v>693</v>
      </c>
      <c r="K14" s="21">
        <v>0</v>
      </c>
      <c r="L14" s="22">
        <f t="shared" ref="L14:L34" si="0">SUM(J14+K14)</f>
        <v>693</v>
      </c>
    </row>
    <row r="15" spans="1:12" x14ac:dyDescent="0.25">
      <c r="A15" t="s">
        <v>1194</v>
      </c>
      <c r="B15" s="7" t="s">
        <v>398</v>
      </c>
      <c r="C15" s="22">
        <v>34464</v>
      </c>
      <c r="D15" s="22">
        <v>34110</v>
      </c>
      <c r="E15" s="22">
        <v>39006</v>
      </c>
      <c r="F15" s="22">
        <v>39818</v>
      </c>
      <c r="G15" s="22">
        <v>27969.24</v>
      </c>
      <c r="H15" s="21">
        <v>30900</v>
      </c>
      <c r="I15" s="21"/>
      <c r="J15" s="21">
        <v>34237.120000000003</v>
      </c>
      <c r="K15" s="21">
        <v>0</v>
      </c>
      <c r="L15" s="22">
        <f t="shared" si="0"/>
        <v>34237.120000000003</v>
      </c>
    </row>
    <row r="16" spans="1:12" x14ac:dyDescent="0.25">
      <c r="A16" t="s">
        <v>1195</v>
      </c>
      <c r="B16" s="7" t="s">
        <v>400</v>
      </c>
      <c r="C16" s="22">
        <v>37169</v>
      </c>
      <c r="D16" s="22">
        <v>37360</v>
      </c>
      <c r="E16" s="22">
        <v>45653</v>
      </c>
      <c r="F16" s="22">
        <v>49396</v>
      </c>
      <c r="G16" s="22">
        <v>29124.799999999999</v>
      </c>
      <c r="H16" s="21">
        <v>33750</v>
      </c>
      <c r="I16" s="21"/>
      <c r="J16" s="21">
        <f>10275.38+30364.5</f>
        <v>40639.879999999997</v>
      </c>
      <c r="K16" s="21">
        <v>0</v>
      </c>
      <c r="L16" s="22">
        <f t="shared" si="0"/>
        <v>40639.879999999997</v>
      </c>
    </row>
    <row r="17" spans="1:12" x14ac:dyDescent="0.25">
      <c r="A17" t="s">
        <v>1196</v>
      </c>
      <c r="B17" s="7" t="s">
        <v>574</v>
      </c>
      <c r="C17" s="22">
        <v>112659</v>
      </c>
      <c r="D17" s="22">
        <v>99719</v>
      </c>
      <c r="E17" s="22">
        <v>110053</v>
      </c>
      <c r="F17" s="22">
        <v>161475</v>
      </c>
      <c r="G17" s="22">
        <v>71805.38</v>
      </c>
      <c r="H17" s="21">
        <v>77850</v>
      </c>
      <c r="I17" s="21"/>
      <c r="J17" s="21">
        <v>113624.04</v>
      </c>
      <c r="K17" s="21">
        <v>0</v>
      </c>
      <c r="L17" s="22">
        <f t="shared" si="0"/>
        <v>113624.04</v>
      </c>
    </row>
    <row r="18" spans="1:12" x14ac:dyDescent="0.25">
      <c r="A18" t="s">
        <v>1197</v>
      </c>
      <c r="B18" s="7" t="s">
        <v>404</v>
      </c>
      <c r="C18" s="22">
        <v>6220</v>
      </c>
      <c r="D18" s="22">
        <v>5688</v>
      </c>
      <c r="E18" s="22">
        <v>6192</v>
      </c>
      <c r="F18" s="22">
        <v>7194</v>
      </c>
      <c r="G18" s="22">
        <v>4227.9799999999996</v>
      </c>
      <c r="H18" s="21">
        <v>5250</v>
      </c>
      <c r="I18" s="21"/>
      <c r="J18" s="21">
        <v>6480</v>
      </c>
      <c r="K18" s="21">
        <v>0</v>
      </c>
      <c r="L18" s="22">
        <f t="shared" si="0"/>
        <v>6480</v>
      </c>
    </row>
    <row r="19" spans="1:12" x14ac:dyDescent="0.25">
      <c r="A19" t="s">
        <v>1198</v>
      </c>
      <c r="B19" s="7" t="s">
        <v>406</v>
      </c>
      <c r="C19" s="22">
        <v>19318</v>
      </c>
      <c r="D19" s="22">
        <v>7653</v>
      </c>
      <c r="E19" s="22">
        <v>20404</v>
      </c>
      <c r="F19" s="22">
        <v>22444</v>
      </c>
      <c r="G19" s="22">
        <v>23587.360000000001</v>
      </c>
      <c r="H19" s="21">
        <v>23587</v>
      </c>
      <c r="I19" s="21"/>
      <c r="J19" s="21">
        <f>G19*10%+G19</f>
        <v>25946.096000000001</v>
      </c>
      <c r="K19" s="21">
        <v>0</v>
      </c>
      <c r="L19" s="22">
        <f t="shared" si="0"/>
        <v>25946.096000000001</v>
      </c>
    </row>
    <row r="20" spans="1:12" x14ac:dyDescent="0.25">
      <c r="A20" t="s">
        <v>1199</v>
      </c>
      <c r="B20" s="7" t="s">
        <v>1200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1">
        <v>0</v>
      </c>
      <c r="I20" s="21"/>
      <c r="J20" s="21">
        <v>0</v>
      </c>
      <c r="K20" s="21">
        <v>0</v>
      </c>
      <c r="L20" s="22">
        <f t="shared" si="0"/>
        <v>0</v>
      </c>
    </row>
    <row r="21" spans="1:12" x14ac:dyDescent="0.25">
      <c r="A21" t="s">
        <v>1201</v>
      </c>
      <c r="B21" s="7" t="s">
        <v>424</v>
      </c>
      <c r="C21" s="22">
        <v>4118</v>
      </c>
      <c r="D21" s="22">
        <v>3668</v>
      </c>
      <c r="E21" s="22">
        <v>3945</v>
      </c>
      <c r="F21" s="22">
        <v>1691</v>
      </c>
      <c r="G21" s="22">
        <v>2906.57</v>
      </c>
      <c r="H21" s="21">
        <v>2907</v>
      </c>
      <c r="I21" s="21"/>
      <c r="J21" s="21">
        <v>2041.52</v>
      </c>
      <c r="K21" s="21">
        <v>0</v>
      </c>
      <c r="L21" s="22">
        <f t="shared" si="0"/>
        <v>2041.52</v>
      </c>
    </row>
    <row r="22" spans="1:12" x14ac:dyDescent="0.25">
      <c r="A22" t="s">
        <v>1202</v>
      </c>
      <c r="B22" s="7" t="s">
        <v>426</v>
      </c>
      <c r="C22" s="22">
        <v>3644</v>
      </c>
      <c r="D22" s="22">
        <v>3239</v>
      </c>
      <c r="E22" s="22">
        <v>3239</v>
      </c>
      <c r="F22" s="22">
        <v>4454</v>
      </c>
      <c r="G22" s="22">
        <v>3321.76</v>
      </c>
      <c r="H22" s="21">
        <v>3322</v>
      </c>
      <c r="I22" s="21"/>
      <c r="J22" s="21">
        <v>2834.37</v>
      </c>
      <c r="K22" s="21">
        <v>0</v>
      </c>
      <c r="L22" s="22">
        <f t="shared" si="0"/>
        <v>2834.37</v>
      </c>
    </row>
    <row r="23" spans="1:12" x14ac:dyDescent="0.25">
      <c r="A23" t="s">
        <v>1203</v>
      </c>
      <c r="B23" s="7" t="s">
        <v>1204</v>
      </c>
      <c r="C23" s="22">
        <v>1800</v>
      </c>
      <c r="D23" s="22">
        <v>1620</v>
      </c>
      <c r="E23" s="22">
        <v>1800</v>
      </c>
      <c r="F23" s="22">
        <v>1979</v>
      </c>
      <c r="G23" s="22">
        <v>1259.6500000000001</v>
      </c>
      <c r="H23" s="21">
        <v>1260</v>
      </c>
      <c r="I23" s="21"/>
      <c r="J23" s="21">
        <v>1619.55</v>
      </c>
      <c r="K23" s="21">
        <v>0</v>
      </c>
      <c r="L23" s="22">
        <f t="shared" si="0"/>
        <v>1619.55</v>
      </c>
    </row>
    <row r="24" spans="1:12" x14ac:dyDescent="0.25">
      <c r="A24" t="s">
        <v>1205</v>
      </c>
      <c r="B24" s="7" t="s">
        <v>428</v>
      </c>
      <c r="C24" s="22">
        <v>1200</v>
      </c>
      <c r="D24" s="22">
        <v>1200</v>
      </c>
      <c r="E24" s="22">
        <v>923</v>
      </c>
      <c r="F24" s="22">
        <v>600</v>
      </c>
      <c r="G24" s="22">
        <v>161.56</v>
      </c>
      <c r="H24" s="21">
        <v>161.56</v>
      </c>
      <c r="I24" s="21"/>
      <c r="J24" s="21">
        <v>600</v>
      </c>
      <c r="K24" s="21">
        <v>0</v>
      </c>
      <c r="L24" s="22">
        <f t="shared" si="0"/>
        <v>600</v>
      </c>
    </row>
    <row r="25" spans="1:12" x14ac:dyDescent="0.25">
      <c r="A25" t="s">
        <v>1206</v>
      </c>
      <c r="B25" s="7" t="s">
        <v>430</v>
      </c>
      <c r="C25" s="22">
        <v>346</v>
      </c>
      <c r="D25" s="22">
        <v>311</v>
      </c>
      <c r="E25" s="22">
        <v>346</v>
      </c>
      <c r="F25" s="22">
        <v>380</v>
      </c>
      <c r="G25" s="22">
        <v>276.8</v>
      </c>
      <c r="H25" s="21">
        <v>277</v>
      </c>
      <c r="I25" s="21"/>
      <c r="J25" s="21">
        <v>0</v>
      </c>
      <c r="K25" s="21">
        <v>0</v>
      </c>
      <c r="L25" s="22">
        <f t="shared" si="0"/>
        <v>0</v>
      </c>
    </row>
    <row r="26" spans="1:12" x14ac:dyDescent="0.25">
      <c r="A26" t="s">
        <v>1207</v>
      </c>
      <c r="B26" s="7" t="s">
        <v>432</v>
      </c>
      <c r="C26" s="22">
        <v>25153</v>
      </c>
      <c r="D26" s="22">
        <v>33725</v>
      </c>
      <c r="E26" s="22">
        <v>26991</v>
      </c>
      <c r="F26" s="22">
        <v>25000</v>
      </c>
      <c r="G26" s="22">
        <v>24400.68</v>
      </c>
      <c r="H26" s="21">
        <v>25250</v>
      </c>
      <c r="I26" s="21"/>
      <c r="J26" s="21">
        <v>19000</v>
      </c>
      <c r="K26" s="21">
        <v>0</v>
      </c>
      <c r="L26" s="22">
        <f t="shared" si="0"/>
        <v>19000</v>
      </c>
    </row>
    <row r="27" spans="1:12" x14ac:dyDescent="0.25">
      <c r="A27" t="s">
        <v>1209</v>
      </c>
      <c r="B27" s="7" t="s">
        <v>1210</v>
      </c>
      <c r="C27" s="22">
        <v>75404</v>
      </c>
      <c r="D27" s="22">
        <v>81203</v>
      </c>
      <c r="E27" s="22">
        <v>81432</v>
      </c>
      <c r="F27" s="22">
        <v>85504</v>
      </c>
      <c r="G27" s="22">
        <v>75324.600000000006</v>
      </c>
      <c r="H27" s="21">
        <v>85250</v>
      </c>
      <c r="I27" s="21"/>
      <c r="J27" s="21">
        <v>85503.6</v>
      </c>
      <c r="K27" s="21">
        <v>0</v>
      </c>
      <c r="L27" s="22">
        <f t="shared" si="0"/>
        <v>85503.6</v>
      </c>
    </row>
    <row r="28" spans="1:12" x14ac:dyDescent="0.25">
      <c r="A28" t="s">
        <v>1211</v>
      </c>
      <c r="B28" s="7" t="s">
        <v>1212</v>
      </c>
      <c r="C28" s="22">
        <v>97896</v>
      </c>
      <c r="D28" s="22">
        <v>103235</v>
      </c>
      <c r="E28" s="22">
        <v>109839</v>
      </c>
      <c r="F28" s="22">
        <v>54600</v>
      </c>
      <c r="G28" s="22">
        <v>22385.78</v>
      </c>
      <c r="H28" s="21">
        <v>28500</v>
      </c>
      <c r="I28" s="21"/>
      <c r="J28" s="21">
        <v>52000</v>
      </c>
      <c r="K28" s="21">
        <v>0</v>
      </c>
      <c r="L28" s="22">
        <f t="shared" si="0"/>
        <v>52000</v>
      </c>
    </row>
    <row r="29" spans="1:12" x14ac:dyDescent="0.25">
      <c r="A29" t="s">
        <v>1213</v>
      </c>
      <c r="B29" s="7" t="s">
        <v>1214</v>
      </c>
      <c r="C29" s="22">
        <v>243801</v>
      </c>
      <c r="D29" s="22">
        <v>221000</v>
      </c>
      <c r="E29" s="22">
        <v>283319</v>
      </c>
      <c r="F29" s="22">
        <v>370118</v>
      </c>
      <c r="G29" s="22">
        <v>236349.14</v>
      </c>
      <c r="H29" s="21">
        <v>260000</v>
      </c>
      <c r="I29" s="21"/>
      <c r="J29" s="21">
        <v>280044.96000000002</v>
      </c>
      <c r="K29" s="21">
        <v>0</v>
      </c>
      <c r="L29" s="22">
        <f t="shared" si="0"/>
        <v>280044.96000000002</v>
      </c>
    </row>
    <row r="30" spans="1:12" hidden="1" x14ac:dyDescent="0.25">
      <c r="A30" t="s">
        <v>1215</v>
      </c>
      <c r="B30" s="7" t="s">
        <v>1216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1">
        <v>0</v>
      </c>
      <c r="I30" s="21"/>
      <c r="J30" s="21">
        <v>0</v>
      </c>
      <c r="K30" s="21">
        <v>0</v>
      </c>
      <c r="L30" s="22">
        <f t="shared" si="0"/>
        <v>0</v>
      </c>
    </row>
    <row r="31" spans="1:12" hidden="1" x14ac:dyDescent="0.25">
      <c r="A31" t="s">
        <v>1217</v>
      </c>
      <c r="B31" s="7" t="s">
        <v>1216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1">
        <v>0</v>
      </c>
      <c r="I31" s="21"/>
      <c r="J31" s="21">
        <v>0</v>
      </c>
      <c r="K31" s="21">
        <v>0</v>
      </c>
      <c r="L31" s="22">
        <f t="shared" si="0"/>
        <v>0</v>
      </c>
    </row>
    <row r="32" spans="1:12" x14ac:dyDescent="0.25">
      <c r="A32" t="s">
        <v>1218</v>
      </c>
      <c r="B32" s="7" t="s">
        <v>436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1">
        <v>0</v>
      </c>
      <c r="I32" s="21"/>
      <c r="J32" s="21">
        <v>0</v>
      </c>
      <c r="K32" s="21">
        <v>0</v>
      </c>
      <c r="L32" s="22">
        <f t="shared" si="0"/>
        <v>0</v>
      </c>
    </row>
    <row r="33" spans="1:12" x14ac:dyDescent="0.25">
      <c r="A33" t="s">
        <v>1219</v>
      </c>
      <c r="B33" s="7" t="s">
        <v>607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1">
        <v>0</v>
      </c>
      <c r="I33" s="21"/>
      <c r="J33" s="21">
        <v>0</v>
      </c>
      <c r="K33" s="21">
        <v>0</v>
      </c>
      <c r="L33" s="22">
        <f t="shared" si="0"/>
        <v>0</v>
      </c>
    </row>
    <row r="34" spans="1:12" x14ac:dyDescent="0.25">
      <c r="A34" t="s">
        <v>1220</v>
      </c>
      <c r="B34" s="7" t="s">
        <v>1221</v>
      </c>
      <c r="C34" s="22">
        <v>3600</v>
      </c>
      <c r="D34" s="22">
        <v>3900</v>
      </c>
      <c r="E34" s="22">
        <v>3900</v>
      </c>
      <c r="F34" s="22">
        <v>0</v>
      </c>
      <c r="G34" s="22">
        <v>3375</v>
      </c>
      <c r="H34" s="21">
        <v>4650</v>
      </c>
      <c r="I34" s="21"/>
      <c r="J34" s="21">
        <v>3900</v>
      </c>
      <c r="K34" s="21">
        <v>0</v>
      </c>
      <c r="L34" s="22">
        <f t="shared" si="0"/>
        <v>3900</v>
      </c>
    </row>
    <row r="35" spans="1:12" x14ac:dyDescent="0.25">
      <c r="C35" s="22"/>
      <c r="D35" s="22"/>
      <c r="E35" s="22"/>
      <c r="F35" s="22"/>
      <c r="G35" s="22"/>
      <c r="H35" s="21"/>
      <c r="I35" s="21"/>
      <c r="J35" s="21"/>
      <c r="K35" s="21"/>
      <c r="L35" s="22"/>
    </row>
    <row r="36" spans="1:12" x14ac:dyDescent="0.25">
      <c r="C36" s="22"/>
      <c r="D36" s="22"/>
      <c r="E36" s="22"/>
      <c r="F36" s="22"/>
      <c r="G36" s="22"/>
      <c r="H36" s="21"/>
      <c r="I36" s="21"/>
      <c r="J36" s="21"/>
      <c r="K36" s="21"/>
      <c r="L36" s="22"/>
    </row>
    <row r="37" spans="1:12" x14ac:dyDescent="0.25">
      <c r="A37" t="s">
        <v>109</v>
      </c>
      <c r="C37" s="22"/>
      <c r="D37" s="22"/>
      <c r="E37" s="22"/>
      <c r="F37" s="22"/>
      <c r="G37" s="22"/>
      <c r="H37" s="21"/>
      <c r="I37" s="21"/>
      <c r="J37" s="21"/>
      <c r="K37" s="21"/>
      <c r="L37" s="22"/>
    </row>
    <row r="38" spans="1:12" x14ac:dyDescent="0.25">
      <c r="B38" t="s">
        <v>441</v>
      </c>
      <c r="C38" s="20">
        <f t="shared" ref="C38:H38" si="1">SUM(C13:C34)</f>
        <v>663945</v>
      </c>
      <c r="D38" s="20">
        <f t="shared" si="1"/>
        <v>641018</v>
      </c>
      <c r="E38" s="20">
        <f t="shared" si="1"/>
        <v>738301</v>
      </c>
      <c r="F38" s="20">
        <f t="shared" si="1"/>
        <v>827425</v>
      </c>
      <c r="G38" s="20">
        <f t="shared" si="1"/>
        <v>527122.67000000004</v>
      </c>
      <c r="H38" s="20">
        <f t="shared" si="1"/>
        <v>583609.56000000006</v>
      </c>
      <c r="I38" s="20"/>
      <c r="J38" s="20">
        <f>SUM(J13:J34)</f>
        <v>669164.13599999994</v>
      </c>
      <c r="K38" s="20">
        <f>SUM(K13:K34)</f>
        <v>0</v>
      </c>
      <c r="L38" s="20">
        <f>SUM(L13:L34)</f>
        <v>669164.13599999994</v>
      </c>
    </row>
    <row r="39" spans="1:12" x14ac:dyDescent="0.25">
      <c r="C39" s="22"/>
      <c r="D39" s="22"/>
      <c r="E39" s="22"/>
      <c r="F39" s="22"/>
      <c r="G39" s="22"/>
      <c r="H39" s="21"/>
      <c r="I39" s="21"/>
      <c r="J39" s="21"/>
      <c r="K39" s="21"/>
      <c r="L39" s="22"/>
    </row>
    <row r="40" spans="1:12" x14ac:dyDescent="0.25">
      <c r="A40" t="s">
        <v>478</v>
      </c>
      <c r="C40" s="22"/>
      <c r="D40" s="22"/>
      <c r="E40" s="22"/>
      <c r="F40" s="22"/>
      <c r="G40" s="22"/>
      <c r="H40" s="21"/>
      <c r="I40" s="21"/>
      <c r="J40" s="21"/>
      <c r="K40" s="21"/>
      <c r="L40" s="22"/>
    </row>
    <row r="41" spans="1:12" x14ac:dyDescent="0.25">
      <c r="A41" t="s">
        <v>18</v>
      </c>
      <c r="B41" s="7" t="s">
        <v>21</v>
      </c>
      <c r="C41" s="22"/>
      <c r="D41" s="22"/>
      <c r="E41" s="22"/>
      <c r="F41" s="22"/>
      <c r="G41" s="22"/>
      <c r="H41" s="21"/>
      <c r="I41" s="21"/>
      <c r="J41" s="21"/>
      <c r="K41" s="21"/>
      <c r="L41" s="22"/>
    </row>
    <row r="42" spans="1:12" x14ac:dyDescent="0.25">
      <c r="A42" t="s">
        <v>1222</v>
      </c>
      <c r="B42" s="7" t="s">
        <v>445</v>
      </c>
      <c r="C42" s="22">
        <v>11500</v>
      </c>
      <c r="D42" s="22">
        <v>16100</v>
      </c>
      <c r="E42" s="22">
        <v>19831</v>
      </c>
      <c r="F42" s="22">
        <v>21815</v>
      </c>
      <c r="G42" s="22">
        <v>18223.439999999999</v>
      </c>
      <c r="H42" s="21">
        <v>18223</v>
      </c>
      <c r="I42" s="21"/>
      <c r="J42" s="21">
        <f>H42*0.1+H42</f>
        <v>20045.3</v>
      </c>
      <c r="K42" s="21">
        <v>0</v>
      </c>
      <c r="L42" s="22">
        <f>SUM(J42+K42)</f>
        <v>20045.3</v>
      </c>
    </row>
    <row r="43" spans="1:12" x14ac:dyDescent="0.25">
      <c r="A43" t="s">
        <v>1223</v>
      </c>
      <c r="B43" s="7" t="s">
        <v>1224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1">
        <v>0</v>
      </c>
      <c r="I43" s="21"/>
      <c r="J43" s="21">
        <v>0</v>
      </c>
      <c r="K43" s="21">
        <v>0</v>
      </c>
      <c r="L43" s="22">
        <f t="shared" ref="L43:L64" si="2">SUM(J43+K43)</f>
        <v>0</v>
      </c>
    </row>
    <row r="44" spans="1:12" x14ac:dyDescent="0.25">
      <c r="A44" t="s">
        <v>1225</v>
      </c>
      <c r="B44" s="7" t="s">
        <v>447</v>
      </c>
      <c r="C44" s="22">
        <v>8155</v>
      </c>
      <c r="D44" s="22">
        <v>11656</v>
      </c>
      <c r="E44" s="22">
        <v>4490</v>
      </c>
      <c r="F44" s="22">
        <v>12276</v>
      </c>
      <c r="G44" s="22">
        <v>6795.31</v>
      </c>
      <c r="H44" s="21">
        <v>7900</v>
      </c>
      <c r="I44" s="21"/>
      <c r="J44" s="21">
        <v>8000</v>
      </c>
      <c r="K44" s="21">
        <v>0</v>
      </c>
      <c r="L44" s="22">
        <f t="shared" si="2"/>
        <v>8000</v>
      </c>
    </row>
    <row r="45" spans="1:12" x14ac:dyDescent="0.25">
      <c r="A45" t="s">
        <v>1226</v>
      </c>
      <c r="B45" s="7" t="s">
        <v>449</v>
      </c>
      <c r="C45" s="22">
        <v>547</v>
      </c>
      <c r="D45" s="22">
        <v>633</v>
      </c>
      <c r="E45" s="22">
        <v>0</v>
      </c>
      <c r="F45" s="22">
        <v>500</v>
      </c>
      <c r="G45" s="22">
        <v>0</v>
      </c>
      <c r="H45" s="21">
        <v>0</v>
      </c>
      <c r="I45" s="21"/>
      <c r="J45" s="21">
        <v>500</v>
      </c>
      <c r="K45" s="21">
        <v>0</v>
      </c>
      <c r="L45" s="22">
        <f t="shared" si="2"/>
        <v>500</v>
      </c>
    </row>
    <row r="46" spans="1:12" x14ac:dyDescent="0.25">
      <c r="A46" t="s">
        <v>1227</v>
      </c>
      <c r="B46" s="7" t="s">
        <v>451</v>
      </c>
      <c r="C46" s="22">
        <v>0</v>
      </c>
      <c r="D46" s="22">
        <v>4200</v>
      </c>
      <c r="E46" s="22">
        <v>450</v>
      </c>
      <c r="F46" s="22">
        <v>5500</v>
      </c>
      <c r="G46" s="22">
        <v>6.5</v>
      </c>
      <c r="H46" s="21">
        <v>4507</v>
      </c>
      <c r="I46" s="21"/>
      <c r="J46" s="21">
        <v>4925</v>
      </c>
      <c r="K46" s="21">
        <v>0</v>
      </c>
      <c r="L46" s="22">
        <f t="shared" si="2"/>
        <v>4925</v>
      </c>
    </row>
    <row r="47" spans="1:12" x14ac:dyDescent="0.25">
      <c r="B47" s="7" t="s">
        <v>3664</v>
      </c>
      <c r="C47" s="22"/>
      <c r="D47" s="22"/>
      <c r="E47" s="22"/>
      <c r="F47" s="22"/>
      <c r="G47" s="22"/>
      <c r="H47" s="21"/>
      <c r="I47" s="21">
        <v>4500</v>
      </c>
      <c r="J47" s="21"/>
      <c r="K47" s="21"/>
      <c r="L47" s="22"/>
    </row>
    <row r="48" spans="1:12" x14ac:dyDescent="0.25">
      <c r="B48" s="7" t="s">
        <v>3665</v>
      </c>
      <c r="C48" s="22"/>
      <c r="D48" s="22"/>
      <c r="E48" s="22"/>
      <c r="F48" s="22"/>
      <c r="G48" s="22"/>
      <c r="H48" s="21"/>
      <c r="I48" s="21">
        <v>425</v>
      </c>
      <c r="J48" s="21"/>
      <c r="K48" s="21"/>
      <c r="L48" s="22"/>
    </row>
    <row r="49" spans="1:12" x14ac:dyDescent="0.25">
      <c r="A49" t="s">
        <v>1228</v>
      </c>
      <c r="B49" s="7" t="s">
        <v>457</v>
      </c>
      <c r="C49" s="22">
        <v>312</v>
      </c>
      <c r="D49" s="22">
        <v>326</v>
      </c>
      <c r="E49" s="22">
        <v>84</v>
      </c>
      <c r="F49" s="22">
        <v>350</v>
      </c>
      <c r="G49" s="22">
        <v>83.75</v>
      </c>
      <c r="H49" s="23">
        <v>0</v>
      </c>
      <c r="I49" s="21"/>
      <c r="J49" s="23">
        <v>0</v>
      </c>
      <c r="K49" s="21">
        <v>0</v>
      </c>
      <c r="L49" s="22">
        <f t="shared" si="2"/>
        <v>0</v>
      </c>
    </row>
    <row r="50" spans="1:12" x14ac:dyDescent="0.25">
      <c r="A50" t="s">
        <v>1229</v>
      </c>
      <c r="B50" s="7" t="s">
        <v>619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1">
        <v>0</v>
      </c>
      <c r="I50" s="21"/>
      <c r="J50" s="21">
        <v>0</v>
      </c>
      <c r="K50" s="21">
        <v>0</v>
      </c>
      <c r="L50" s="22">
        <f t="shared" si="2"/>
        <v>0</v>
      </c>
    </row>
    <row r="51" spans="1:12" x14ac:dyDescent="0.25">
      <c r="A51" t="s">
        <v>1230</v>
      </c>
      <c r="B51" s="7" t="s">
        <v>461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1">
        <v>0</v>
      </c>
      <c r="I51" s="21"/>
      <c r="J51" s="21">
        <v>0</v>
      </c>
      <c r="K51" s="21">
        <v>0</v>
      </c>
      <c r="L51" s="22">
        <f t="shared" si="2"/>
        <v>0</v>
      </c>
    </row>
    <row r="52" spans="1:12" x14ac:dyDescent="0.25">
      <c r="A52" t="s">
        <v>1231</v>
      </c>
      <c r="B52" s="7" t="s">
        <v>1232</v>
      </c>
      <c r="C52" s="22">
        <v>3457</v>
      </c>
      <c r="D52" s="22">
        <v>1541</v>
      </c>
      <c r="E52" s="22">
        <v>1828</v>
      </c>
      <c r="F52" s="22">
        <v>3000</v>
      </c>
      <c r="G52" s="22">
        <v>89</v>
      </c>
      <c r="H52" s="21">
        <v>150</v>
      </c>
      <c r="I52" s="21"/>
      <c r="J52" s="21">
        <v>3000</v>
      </c>
      <c r="K52" s="21">
        <v>0</v>
      </c>
      <c r="L52" s="22">
        <f t="shared" si="2"/>
        <v>3000</v>
      </c>
    </row>
    <row r="53" spans="1:12" x14ac:dyDescent="0.25">
      <c r="A53" t="s">
        <v>1233</v>
      </c>
      <c r="B53" s="7" t="s">
        <v>471</v>
      </c>
      <c r="C53" s="22">
        <v>575</v>
      </c>
      <c r="D53" s="22">
        <v>1250</v>
      </c>
      <c r="E53" s="22">
        <v>883</v>
      </c>
      <c r="F53" s="22">
        <v>955</v>
      </c>
      <c r="G53" s="22">
        <v>1197.58</v>
      </c>
      <c r="H53" s="21">
        <v>1306</v>
      </c>
      <c r="I53" s="21"/>
      <c r="J53" s="21">
        <v>1340</v>
      </c>
      <c r="K53" s="21">
        <v>0</v>
      </c>
      <c r="L53" s="22">
        <f t="shared" si="2"/>
        <v>1340</v>
      </c>
    </row>
    <row r="54" spans="1:12" x14ac:dyDescent="0.25">
      <c r="A54" t="s">
        <v>1234</v>
      </c>
      <c r="B54" s="7" t="s">
        <v>1047</v>
      </c>
      <c r="C54" s="22">
        <v>83589</v>
      </c>
      <c r="D54" s="22">
        <v>82874</v>
      </c>
      <c r="E54" s="22">
        <v>82707</v>
      </c>
      <c r="F54" s="22">
        <v>75000</v>
      </c>
      <c r="G54" s="22">
        <v>65304.05</v>
      </c>
      <c r="H54" s="21">
        <v>76895</v>
      </c>
      <c r="I54" s="21"/>
      <c r="J54" s="21">
        <v>76895</v>
      </c>
      <c r="K54" s="21">
        <v>2691</v>
      </c>
      <c r="L54" s="22">
        <f t="shared" si="2"/>
        <v>79586</v>
      </c>
    </row>
    <row r="55" spans="1:12" x14ac:dyDescent="0.25">
      <c r="B55" s="7" t="s">
        <v>3666</v>
      </c>
      <c r="C55" s="22"/>
      <c r="D55" s="22"/>
      <c r="E55" s="22"/>
      <c r="F55" s="22"/>
      <c r="G55" s="22"/>
      <c r="H55" s="21"/>
      <c r="I55" s="21"/>
      <c r="J55" s="21"/>
      <c r="K55" s="21"/>
      <c r="L55" s="22"/>
    </row>
    <row r="56" spans="1:12" x14ac:dyDescent="0.25">
      <c r="A56" t="s">
        <v>1235</v>
      </c>
      <c r="B56" s="7" t="s">
        <v>1236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1">
        <v>0</v>
      </c>
      <c r="I56" s="21"/>
      <c r="J56" s="21">
        <v>0</v>
      </c>
      <c r="K56" s="21">
        <v>0</v>
      </c>
      <c r="L56" s="22">
        <f t="shared" si="2"/>
        <v>0</v>
      </c>
    </row>
    <row r="57" spans="1:12" x14ac:dyDescent="0.25">
      <c r="A57" t="s">
        <v>1237</v>
      </c>
      <c r="B57" s="7" t="s">
        <v>473</v>
      </c>
      <c r="C57" s="22">
        <v>2963</v>
      </c>
      <c r="D57" s="22">
        <v>2279</v>
      </c>
      <c r="E57" s="22">
        <v>2533</v>
      </c>
      <c r="F57" s="22">
        <v>5000</v>
      </c>
      <c r="G57" s="22">
        <v>9966.26</v>
      </c>
      <c r="H57" s="21">
        <v>9966</v>
      </c>
      <c r="I57" s="21"/>
      <c r="J57" s="21">
        <v>5000</v>
      </c>
      <c r="K57" s="21">
        <v>0</v>
      </c>
      <c r="L57" s="22">
        <f t="shared" si="2"/>
        <v>5000</v>
      </c>
    </row>
    <row r="58" spans="1:12" x14ac:dyDescent="0.25">
      <c r="A58" t="s">
        <v>1238</v>
      </c>
      <c r="B58" s="7" t="s">
        <v>1239</v>
      </c>
      <c r="C58" s="22">
        <v>55</v>
      </c>
      <c r="D58" s="22">
        <v>0</v>
      </c>
      <c r="E58" s="22">
        <v>90</v>
      </c>
      <c r="F58" s="22">
        <v>0</v>
      </c>
      <c r="G58" s="22">
        <v>0</v>
      </c>
      <c r="H58" s="21">
        <v>0</v>
      </c>
      <c r="I58" s="21"/>
      <c r="J58" s="21">
        <v>0</v>
      </c>
      <c r="K58" s="21">
        <v>0</v>
      </c>
      <c r="L58" s="22">
        <f t="shared" si="2"/>
        <v>0</v>
      </c>
    </row>
    <row r="59" spans="1:12" x14ac:dyDescent="0.25">
      <c r="A59" t="s">
        <v>1240</v>
      </c>
      <c r="B59" s="7" t="s">
        <v>1241</v>
      </c>
      <c r="C59" s="22">
        <v>3150</v>
      </c>
      <c r="D59" s="22">
        <v>3692</v>
      </c>
      <c r="E59" s="22">
        <v>1211</v>
      </c>
      <c r="F59" s="22">
        <v>0</v>
      </c>
      <c r="G59" s="22">
        <v>609.67999999999995</v>
      </c>
      <c r="H59" s="21">
        <v>610</v>
      </c>
      <c r="I59" s="21"/>
      <c r="J59" s="21">
        <v>1000</v>
      </c>
      <c r="K59" s="21">
        <v>0</v>
      </c>
      <c r="L59" s="22">
        <f t="shared" si="2"/>
        <v>1000</v>
      </c>
    </row>
    <row r="60" spans="1:12" x14ac:dyDescent="0.25">
      <c r="A60" t="s">
        <v>1242</v>
      </c>
      <c r="B60" s="7" t="s">
        <v>626</v>
      </c>
      <c r="C60" s="22">
        <v>30112</v>
      </c>
      <c r="D60" s="22">
        <v>21590</v>
      </c>
      <c r="E60" s="22">
        <v>29153</v>
      </c>
      <c r="F60" s="22">
        <v>30000</v>
      </c>
      <c r="G60" s="22">
        <v>11264.16</v>
      </c>
      <c r="H60" s="21">
        <v>14000</v>
      </c>
      <c r="I60" s="21"/>
      <c r="J60" s="21">
        <v>30000</v>
      </c>
      <c r="K60" s="21">
        <v>0</v>
      </c>
      <c r="L60" s="22">
        <f t="shared" si="2"/>
        <v>30000</v>
      </c>
    </row>
    <row r="61" spans="1:12" x14ac:dyDescent="0.25">
      <c r="A61" t="s">
        <v>1243</v>
      </c>
      <c r="B61" s="7" t="s">
        <v>1244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1">
        <v>0</v>
      </c>
      <c r="I61" s="21"/>
      <c r="J61" s="21">
        <v>0</v>
      </c>
      <c r="K61" s="21">
        <v>0</v>
      </c>
      <c r="L61" s="22">
        <f t="shared" si="2"/>
        <v>0</v>
      </c>
    </row>
    <row r="62" spans="1:12" x14ac:dyDescent="0.25">
      <c r="A62" t="s">
        <v>1245</v>
      </c>
      <c r="B62" s="7" t="s">
        <v>1246</v>
      </c>
      <c r="C62" s="22">
        <v>2467</v>
      </c>
      <c r="D62" s="22">
        <v>3813</v>
      </c>
      <c r="E62" s="22">
        <v>1297</v>
      </c>
      <c r="F62" s="22">
        <v>2500</v>
      </c>
      <c r="G62" s="22">
        <v>6201.36</v>
      </c>
      <c r="H62" s="21">
        <v>6201</v>
      </c>
      <c r="I62" s="21"/>
      <c r="J62" s="21">
        <v>5000</v>
      </c>
      <c r="K62" s="21">
        <v>0</v>
      </c>
      <c r="L62" s="22">
        <f t="shared" si="2"/>
        <v>5000</v>
      </c>
    </row>
    <row r="63" spans="1:12" x14ac:dyDescent="0.25">
      <c r="A63" t="s">
        <v>1247</v>
      </c>
      <c r="B63" s="7" t="s">
        <v>475</v>
      </c>
      <c r="C63" s="22">
        <v>8</v>
      </c>
      <c r="D63" s="22">
        <v>3</v>
      </c>
      <c r="E63" s="22">
        <v>66</v>
      </c>
      <c r="F63" s="22">
        <v>500</v>
      </c>
      <c r="G63" s="22">
        <v>10.5</v>
      </c>
      <c r="H63" s="21">
        <v>11</v>
      </c>
      <c r="I63" s="21"/>
      <c r="J63" s="21">
        <v>500</v>
      </c>
      <c r="K63" s="21">
        <v>0</v>
      </c>
      <c r="L63" s="22">
        <f t="shared" si="2"/>
        <v>500</v>
      </c>
    </row>
    <row r="64" spans="1:12" x14ac:dyDescent="0.25">
      <c r="A64" t="s">
        <v>1248</v>
      </c>
      <c r="B64" s="7" t="s">
        <v>477</v>
      </c>
      <c r="C64" s="22">
        <v>0</v>
      </c>
      <c r="D64" s="22">
        <v>0</v>
      </c>
      <c r="E64" s="22">
        <v>0</v>
      </c>
      <c r="F64" s="22">
        <v>500</v>
      </c>
      <c r="G64" s="22">
        <v>0</v>
      </c>
      <c r="H64" s="21">
        <v>0</v>
      </c>
      <c r="I64" s="21"/>
      <c r="J64" s="21">
        <v>0</v>
      </c>
      <c r="K64" s="21">
        <v>0</v>
      </c>
      <c r="L64" s="22">
        <f t="shared" si="2"/>
        <v>0</v>
      </c>
    </row>
    <row r="65" spans="1:12" x14ac:dyDescent="0.25">
      <c r="C65" s="22"/>
      <c r="D65" s="22"/>
      <c r="E65" s="22"/>
      <c r="F65" s="22"/>
      <c r="G65" s="22"/>
      <c r="H65" s="21"/>
      <c r="I65" s="21"/>
      <c r="J65" s="21"/>
      <c r="K65" s="21"/>
      <c r="L65" s="22"/>
    </row>
    <row r="66" spans="1:12" x14ac:dyDescent="0.25">
      <c r="C66" s="22"/>
      <c r="D66" s="22"/>
      <c r="E66" s="22"/>
      <c r="F66" s="22"/>
      <c r="G66" s="22"/>
      <c r="H66" s="21"/>
      <c r="I66" s="21"/>
      <c r="J66" s="21"/>
      <c r="K66" s="21"/>
      <c r="L66" s="22"/>
    </row>
    <row r="67" spans="1:12" x14ac:dyDescent="0.25">
      <c r="A67" t="s">
        <v>109</v>
      </c>
      <c r="C67" s="22"/>
      <c r="D67" s="22"/>
      <c r="E67" s="22"/>
      <c r="F67" s="22"/>
      <c r="G67" s="22"/>
      <c r="H67" s="21"/>
      <c r="I67" s="21"/>
      <c r="J67" s="21"/>
      <c r="K67" s="21"/>
      <c r="L67" s="22"/>
    </row>
    <row r="68" spans="1:12" x14ac:dyDescent="0.25">
      <c r="B68" t="s">
        <v>478</v>
      </c>
      <c r="C68" s="20">
        <f t="shared" ref="C68:H68" si="3">SUM(C42:C64)</f>
        <v>146890</v>
      </c>
      <c r="D68" s="20">
        <f t="shared" si="3"/>
        <v>149957</v>
      </c>
      <c r="E68" s="20">
        <f t="shared" si="3"/>
        <v>144623</v>
      </c>
      <c r="F68" s="20">
        <f t="shared" si="3"/>
        <v>157896</v>
      </c>
      <c r="G68" s="20">
        <f t="shared" si="3"/>
        <v>119751.59</v>
      </c>
      <c r="H68" s="20">
        <f t="shared" si="3"/>
        <v>139769</v>
      </c>
      <c r="I68" s="20"/>
      <c r="J68" s="20">
        <f>SUM(J42:J64)</f>
        <v>156205.29999999999</v>
      </c>
      <c r="K68" s="20">
        <f>SUM(K42:K64)</f>
        <v>2691</v>
      </c>
      <c r="L68" s="20">
        <f>SUM(L42:L64)</f>
        <v>158896.29999999999</v>
      </c>
    </row>
    <row r="69" spans="1:12" x14ac:dyDescent="0.25">
      <c r="C69" s="22"/>
      <c r="D69" s="22"/>
      <c r="E69" s="22"/>
      <c r="F69" s="22"/>
      <c r="G69" s="22"/>
      <c r="H69" s="21"/>
      <c r="I69" s="21"/>
      <c r="J69" s="21"/>
      <c r="K69" s="21"/>
      <c r="L69" s="22"/>
    </row>
    <row r="70" spans="1:12" x14ac:dyDescent="0.25">
      <c r="A70" t="s">
        <v>489</v>
      </c>
      <c r="C70" s="22"/>
      <c r="D70" s="22"/>
      <c r="E70" s="22"/>
      <c r="F70" s="22"/>
      <c r="G70" s="22"/>
      <c r="H70" s="21"/>
      <c r="I70" s="21"/>
      <c r="J70" s="21"/>
      <c r="K70" s="21"/>
      <c r="L70" s="22"/>
    </row>
    <row r="71" spans="1:12" x14ac:dyDescent="0.25">
      <c r="A71" t="s">
        <v>18</v>
      </c>
      <c r="C71" s="22"/>
      <c r="D71" s="22"/>
      <c r="E71" s="22"/>
      <c r="F71" s="22"/>
      <c r="G71" s="22"/>
      <c r="H71" s="21"/>
      <c r="I71" s="21"/>
      <c r="J71" s="21"/>
      <c r="K71" s="21"/>
      <c r="L71" s="22"/>
    </row>
    <row r="72" spans="1:12" x14ac:dyDescent="0.25">
      <c r="A72" t="s">
        <v>1249</v>
      </c>
      <c r="B72" s="7" t="s">
        <v>491</v>
      </c>
      <c r="C72" s="22">
        <v>0</v>
      </c>
      <c r="D72" s="22">
        <v>0</v>
      </c>
      <c r="E72" s="22">
        <v>0</v>
      </c>
      <c r="F72" s="22">
        <v>200</v>
      </c>
      <c r="G72" s="22">
        <v>409.5</v>
      </c>
      <c r="H72" s="21">
        <v>410</v>
      </c>
      <c r="I72" s="21"/>
      <c r="J72" s="21">
        <v>0</v>
      </c>
      <c r="K72" s="21">
        <v>0</v>
      </c>
      <c r="L72" s="22">
        <f>SUM(J72+K72)</f>
        <v>0</v>
      </c>
    </row>
    <row r="73" spans="1:12" x14ac:dyDescent="0.25">
      <c r="A73" t="s">
        <v>1250</v>
      </c>
      <c r="B73" s="7" t="s">
        <v>489</v>
      </c>
      <c r="C73" s="22">
        <v>12834</v>
      </c>
      <c r="D73" s="22">
        <v>14758</v>
      </c>
      <c r="E73" s="22">
        <v>15630</v>
      </c>
      <c r="F73" s="22">
        <v>16294</v>
      </c>
      <c r="G73" s="22">
        <v>13659.83</v>
      </c>
      <c r="H73" s="21">
        <v>17738</v>
      </c>
      <c r="I73" s="21"/>
      <c r="J73" s="21">
        <v>17738</v>
      </c>
      <c r="K73" s="21">
        <v>0</v>
      </c>
      <c r="L73" s="22">
        <f t="shared" ref="L73:L90" si="4">SUM(J73+K73)</f>
        <v>17738</v>
      </c>
    </row>
    <row r="74" spans="1:12" x14ac:dyDescent="0.25">
      <c r="A74" t="s">
        <v>1251</v>
      </c>
      <c r="B74" s="7" t="s">
        <v>1252</v>
      </c>
      <c r="C74" s="22">
        <v>4231</v>
      </c>
      <c r="D74" s="22">
        <v>5838</v>
      </c>
      <c r="E74" s="22">
        <v>6503</v>
      </c>
      <c r="F74" s="22">
        <v>11400</v>
      </c>
      <c r="G74" s="22">
        <v>6846.7</v>
      </c>
      <c r="H74" s="21">
        <v>10388</v>
      </c>
      <c r="I74" s="21"/>
      <c r="J74" s="21">
        <v>11000</v>
      </c>
      <c r="K74" s="21">
        <v>0</v>
      </c>
      <c r="L74" s="22">
        <f t="shared" si="4"/>
        <v>11000</v>
      </c>
    </row>
    <row r="75" spans="1:12" x14ac:dyDescent="0.25">
      <c r="B75" s="7" t="s">
        <v>3667</v>
      </c>
      <c r="C75" s="22"/>
      <c r="D75" s="22"/>
      <c r="E75" s="22"/>
      <c r="F75" s="22"/>
      <c r="G75" s="22"/>
      <c r="H75" s="21"/>
      <c r="I75" s="21">
        <v>750</v>
      </c>
      <c r="J75" s="21"/>
      <c r="K75" s="21"/>
      <c r="L75" s="22"/>
    </row>
    <row r="76" spans="1:12" x14ac:dyDescent="0.25">
      <c r="B76" s="7" t="s">
        <v>3668</v>
      </c>
      <c r="C76" s="22"/>
      <c r="D76" s="22"/>
      <c r="E76" s="22"/>
      <c r="F76" s="22"/>
      <c r="G76" s="22"/>
      <c r="H76" s="21"/>
      <c r="I76" s="21">
        <v>1000</v>
      </c>
      <c r="J76" s="21"/>
      <c r="K76" s="21"/>
      <c r="L76" s="22"/>
    </row>
    <row r="77" spans="1:12" x14ac:dyDescent="0.25">
      <c r="B77" s="7" t="s">
        <v>3669</v>
      </c>
      <c r="C77" s="22"/>
      <c r="D77" s="22"/>
      <c r="E77" s="22"/>
      <c r="F77" s="22"/>
      <c r="G77" s="22"/>
      <c r="H77" s="21"/>
      <c r="I77" s="21">
        <v>1200</v>
      </c>
      <c r="J77" s="21"/>
      <c r="K77" s="21"/>
      <c r="L77" s="22"/>
    </row>
    <row r="78" spans="1:12" x14ac:dyDescent="0.25">
      <c r="B78" s="7" t="s">
        <v>3670</v>
      </c>
      <c r="C78" s="22"/>
      <c r="D78" s="22"/>
      <c r="E78" s="22"/>
      <c r="F78" s="22"/>
      <c r="G78" s="22"/>
      <c r="H78" s="21"/>
      <c r="I78" s="21">
        <v>750</v>
      </c>
      <c r="J78" s="21"/>
      <c r="K78" s="21"/>
      <c r="L78" s="22"/>
    </row>
    <row r="79" spans="1:12" x14ac:dyDescent="0.25">
      <c r="B79" s="7" t="s">
        <v>3671</v>
      </c>
      <c r="C79" s="22"/>
      <c r="D79" s="22"/>
      <c r="E79" s="22"/>
      <c r="F79" s="22"/>
      <c r="G79" s="22"/>
      <c r="H79" s="21"/>
      <c r="I79" s="21">
        <v>3000</v>
      </c>
      <c r="J79" s="21"/>
      <c r="K79" s="21"/>
      <c r="L79" s="22"/>
    </row>
    <row r="80" spans="1:12" x14ac:dyDescent="0.25">
      <c r="B80" s="7" t="s">
        <v>3672</v>
      </c>
      <c r="C80" s="22"/>
      <c r="D80" s="22"/>
      <c r="E80" s="22"/>
      <c r="F80" s="22"/>
      <c r="G80" s="22"/>
      <c r="H80" s="21"/>
      <c r="I80" s="21">
        <v>1350</v>
      </c>
      <c r="J80" s="21"/>
      <c r="K80" s="21"/>
      <c r="L80" s="22"/>
    </row>
    <row r="81" spans="1:12" x14ac:dyDescent="0.25">
      <c r="B81" s="7" t="s">
        <v>3673</v>
      </c>
      <c r="C81" s="22"/>
      <c r="D81" s="22"/>
      <c r="E81" s="22"/>
      <c r="F81" s="22"/>
      <c r="G81" s="22"/>
      <c r="H81" s="21"/>
      <c r="I81" s="21">
        <v>1200</v>
      </c>
      <c r="J81" s="21"/>
      <c r="K81" s="21"/>
      <c r="L81" s="22"/>
    </row>
    <row r="82" spans="1:12" x14ac:dyDescent="0.25">
      <c r="B82" s="7" t="s">
        <v>3674</v>
      </c>
      <c r="C82" s="22"/>
      <c r="D82" s="22"/>
      <c r="E82" s="22"/>
      <c r="F82" s="22"/>
      <c r="G82" s="22"/>
      <c r="H82" s="21"/>
      <c r="I82" s="21">
        <v>1750</v>
      </c>
      <c r="J82" s="21"/>
      <c r="K82" s="21"/>
      <c r="L82" s="22"/>
    </row>
    <row r="83" spans="1:12" x14ac:dyDescent="0.25">
      <c r="A83" t="s">
        <v>1253</v>
      </c>
      <c r="B83" s="7" t="s">
        <v>496</v>
      </c>
      <c r="C83" s="22">
        <v>18575</v>
      </c>
      <c r="D83" s="22">
        <v>16103</v>
      </c>
      <c r="E83" s="22">
        <v>14357</v>
      </c>
      <c r="F83" s="22">
        <v>20000</v>
      </c>
      <c r="G83" s="22">
        <v>9776.31</v>
      </c>
      <c r="H83" s="21">
        <v>18616</v>
      </c>
      <c r="I83" s="21"/>
      <c r="J83" s="21">
        <v>20000</v>
      </c>
      <c r="K83" s="21">
        <v>0</v>
      </c>
      <c r="L83" s="22">
        <f t="shared" si="4"/>
        <v>20000</v>
      </c>
    </row>
    <row r="84" spans="1:12" x14ac:dyDescent="0.25">
      <c r="A84" t="s">
        <v>1254</v>
      </c>
      <c r="B84" s="7" t="s">
        <v>1255</v>
      </c>
      <c r="C84" s="22">
        <v>70994</v>
      </c>
      <c r="D84" s="22">
        <v>72665</v>
      </c>
      <c r="E84" s="22">
        <v>140835</v>
      </c>
      <c r="F84" s="22">
        <v>175000</v>
      </c>
      <c r="G84" s="22">
        <v>56864.29</v>
      </c>
      <c r="H84" s="21">
        <v>71000</v>
      </c>
      <c r="I84" s="21"/>
      <c r="J84" s="21">
        <v>150000</v>
      </c>
      <c r="K84" s="21">
        <v>0</v>
      </c>
      <c r="L84" s="22">
        <f t="shared" si="4"/>
        <v>150000</v>
      </c>
    </row>
    <row r="85" spans="1:12" x14ac:dyDescent="0.25">
      <c r="A85" t="s">
        <v>1256</v>
      </c>
      <c r="B85" s="7" t="s">
        <v>1257</v>
      </c>
      <c r="C85" s="22">
        <v>48233</v>
      </c>
      <c r="D85" s="22">
        <v>41972</v>
      </c>
      <c r="E85" s="22">
        <v>10830</v>
      </c>
      <c r="F85" s="22">
        <v>40000</v>
      </c>
      <c r="G85" s="22">
        <v>13281.57</v>
      </c>
      <c r="H85" s="21">
        <v>27000</v>
      </c>
      <c r="I85" s="21"/>
      <c r="J85" s="21">
        <v>30000</v>
      </c>
      <c r="K85" s="21">
        <v>0</v>
      </c>
      <c r="L85" s="22">
        <f t="shared" si="4"/>
        <v>30000</v>
      </c>
    </row>
    <row r="86" spans="1:12" x14ac:dyDescent="0.25">
      <c r="A86" t="s">
        <v>1258</v>
      </c>
      <c r="B86" s="7" t="s">
        <v>1259</v>
      </c>
      <c r="C86" s="22">
        <v>701</v>
      </c>
      <c r="D86" s="22">
        <v>2239</v>
      </c>
      <c r="E86" s="22">
        <v>1279</v>
      </c>
      <c r="F86" s="22">
        <v>2500</v>
      </c>
      <c r="G86" s="22">
        <v>570.54999999999995</v>
      </c>
      <c r="H86" s="21">
        <v>600</v>
      </c>
      <c r="I86" s="21"/>
      <c r="J86" s="21">
        <v>1200</v>
      </c>
      <c r="K86" s="21">
        <v>0</v>
      </c>
      <c r="L86" s="22">
        <f t="shared" si="4"/>
        <v>1200</v>
      </c>
    </row>
    <row r="87" spans="1:12" x14ac:dyDescent="0.25">
      <c r="B87" s="7" t="s">
        <v>3675</v>
      </c>
      <c r="C87" s="22"/>
      <c r="D87" s="22"/>
      <c r="E87" s="22"/>
      <c r="F87" s="22"/>
      <c r="G87" s="22"/>
      <c r="H87" s="21"/>
      <c r="I87" s="21">
        <v>300</v>
      </c>
      <c r="J87" s="21"/>
      <c r="K87" s="21"/>
      <c r="L87" s="22"/>
    </row>
    <row r="88" spans="1:12" x14ac:dyDescent="0.25">
      <c r="B88" s="7" t="s">
        <v>3676</v>
      </c>
      <c r="C88" s="22"/>
      <c r="D88" s="22"/>
      <c r="E88" s="22"/>
      <c r="F88" s="22"/>
      <c r="G88" s="22"/>
      <c r="H88" s="21"/>
      <c r="I88" s="21">
        <v>300</v>
      </c>
      <c r="J88" s="21"/>
      <c r="K88" s="21"/>
      <c r="L88" s="22"/>
    </row>
    <row r="89" spans="1:12" hidden="1" x14ac:dyDescent="0.25">
      <c r="A89" t="s">
        <v>1260</v>
      </c>
      <c r="B89" s="7" t="s">
        <v>498</v>
      </c>
      <c r="C89" s="22">
        <v>-32</v>
      </c>
      <c r="D89" s="22">
        <v>0</v>
      </c>
      <c r="E89" s="22">
        <v>0</v>
      </c>
      <c r="F89" s="22">
        <v>0</v>
      </c>
      <c r="G89" s="22">
        <v>0</v>
      </c>
      <c r="H89" s="21">
        <v>0</v>
      </c>
      <c r="I89" s="21"/>
      <c r="J89" s="21">
        <v>0</v>
      </c>
      <c r="K89" s="21">
        <v>0</v>
      </c>
      <c r="L89" s="22">
        <f t="shared" si="4"/>
        <v>0</v>
      </c>
    </row>
    <row r="90" spans="1:12" hidden="1" x14ac:dyDescent="0.25">
      <c r="A90" t="s">
        <v>1261</v>
      </c>
      <c r="B90" s="7" t="s">
        <v>500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1">
        <v>0</v>
      </c>
      <c r="I90" s="21"/>
      <c r="J90" s="21">
        <v>0</v>
      </c>
      <c r="K90" s="21">
        <v>0</v>
      </c>
      <c r="L90" s="22">
        <f t="shared" si="4"/>
        <v>0</v>
      </c>
    </row>
    <row r="91" spans="1:12" x14ac:dyDescent="0.25">
      <c r="C91" s="22"/>
      <c r="D91" s="22"/>
      <c r="E91" s="22"/>
      <c r="F91" s="22"/>
      <c r="G91" s="22"/>
      <c r="H91" s="21"/>
      <c r="I91" s="21"/>
      <c r="J91" s="21"/>
      <c r="K91" s="21"/>
      <c r="L91" s="22"/>
    </row>
    <row r="92" spans="1:12" x14ac:dyDescent="0.25">
      <c r="C92" s="22"/>
      <c r="D92" s="22"/>
      <c r="E92" s="22"/>
      <c r="F92" s="22"/>
      <c r="G92" s="22"/>
      <c r="H92" s="21"/>
      <c r="I92" s="21"/>
      <c r="J92" s="21"/>
      <c r="K92" s="21"/>
      <c r="L92" s="22"/>
    </row>
    <row r="93" spans="1:12" x14ac:dyDescent="0.25">
      <c r="A93" t="s">
        <v>109</v>
      </c>
      <c r="C93" s="22"/>
      <c r="D93" s="22"/>
      <c r="E93" s="22"/>
      <c r="F93" s="22"/>
      <c r="G93" s="22"/>
      <c r="H93" s="21"/>
      <c r="I93" s="21"/>
      <c r="J93" s="21"/>
      <c r="K93" s="21"/>
      <c r="L93" s="22"/>
    </row>
    <row r="94" spans="1:12" x14ac:dyDescent="0.25">
      <c r="B94" t="s">
        <v>489</v>
      </c>
      <c r="C94" s="20">
        <f t="shared" ref="C94:H94" si="5">SUM(C72:C90)</f>
        <v>155536</v>
      </c>
      <c r="D94" s="20">
        <f t="shared" si="5"/>
        <v>153575</v>
      </c>
      <c r="E94" s="20">
        <f t="shared" si="5"/>
        <v>189434</v>
      </c>
      <c r="F94" s="20">
        <f t="shared" si="5"/>
        <v>265394</v>
      </c>
      <c r="G94" s="20">
        <f t="shared" si="5"/>
        <v>101408.75000000001</v>
      </c>
      <c r="H94" s="20">
        <f t="shared" si="5"/>
        <v>145752</v>
      </c>
      <c r="I94" s="20"/>
      <c r="J94" s="20">
        <f>SUM(J72:J90)</f>
        <v>229938</v>
      </c>
      <c r="K94" s="20">
        <f>SUM(K72:K90)</f>
        <v>0</v>
      </c>
      <c r="L94" s="20">
        <f>SUM(L72:L90)</f>
        <v>229938</v>
      </c>
    </row>
    <row r="95" spans="1:12" x14ac:dyDescent="0.25">
      <c r="C95" s="22"/>
      <c r="D95" s="22"/>
      <c r="E95" s="22"/>
      <c r="F95" s="22"/>
      <c r="G95" s="22"/>
      <c r="H95" s="21"/>
      <c r="I95" s="21"/>
      <c r="J95" s="21"/>
      <c r="K95" s="21"/>
      <c r="L95" s="22"/>
    </row>
    <row r="96" spans="1:12" x14ac:dyDescent="0.25">
      <c r="A96" t="s">
        <v>501</v>
      </c>
      <c r="C96" s="22"/>
      <c r="D96" s="22"/>
      <c r="E96" s="22"/>
      <c r="F96" s="22"/>
      <c r="G96" s="22"/>
      <c r="H96" s="21"/>
      <c r="I96" s="21"/>
      <c r="J96" s="21"/>
      <c r="K96" s="21"/>
      <c r="L96" s="22"/>
    </row>
    <row r="97" spans="1:12" x14ac:dyDescent="0.25">
      <c r="A97" t="s">
        <v>18</v>
      </c>
      <c r="C97" s="22"/>
      <c r="D97" s="22"/>
      <c r="E97" s="22"/>
      <c r="F97" s="22"/>
      <c r="G97" s="22"/>
      <c r="H97" s="21"/>
      <c r="I97" s="21"/>
      <c r="J97" s="21"/>
      <c r="K97" s="21"/>
      <c r="L97" s="22"/>
    </row>
    <row r="98" spans="1:12" x14ac:dyDescent="0.25">
      <c r="A98" t="s">
        <v>1263</v>
      </c>
      <c r="B98" s="7" t="s">
        <v>503</v>
      </c>
      <c r="C98" s="22">
        <v>24957</v>
      </c>
      <c r="D98" s="22">
        <v>0</v>
      </c>
      <c r="E98" s="22">
        <v>0</v>
      </c>
      <c r="F98" s="22">
        <v>1000</v>
      </c>
      <c r="G98" s="22">
        <v>0</v>
      </c>
      <c r="H98" s="21">
        <v>0</v>
      </c>
      <c r="I98" s="21"/>
      <c r="J98" s="21">
        <v>1000</v>
      </c>
      <c r="K98" s="21">
        <v>0</v>
      </c>
      <c r="L98" s="22">
        <f>SUM(J98+K98)</f>
        <v>1000</v>
      </c>
    </row>
    <row r="99" spans="1:12" x14ac:dyDescent="0.25">
      <c r="A99" t="s">
        <v>1264</v>
      </c>
      <c r="B99" s="7" t="s">
        <v>1265</v>
      </c>
      <c r="C99" s="22">
        <v>0</v>
      </c>
      <c r="D99" s="22">
        <v>99106</v>
      </c>
      <c r="E99" s="22">
        <v>200894</v>
      </c>
      <c r="F99" s="22">
        <v>0</v>
      </c>
      <c r="G99" s="22">
        <v>3388.58</v>
      </c>
      <c r="H99" s="21">
        <v>3389</v>
      </c>
      <c r="I99" s="21"/>
      <c r="J99" s="21">
        <v>0</v>
      </c>
      <c r="K99" s="21">
        <v>0</v>
      </c>
      <c r="L99" s="22">
        <f t="shared" ref="L99:L109" si="6">SUM(J99+K99)</f>
        <v>0</v>
      </c>
    </row>
    <row r="100" spans="1:12" x14ac:dyDescent="0.25">
      <c r="A100" t="s">
        <v>1266</v>
      </c>
      <c r="B100" s="7" t="s">
        <v>509</v>
      </c>
      <c r="C100" s="22">
        <v>20189</v>
      </c>
      <c r="D100" s="22">
        <v>0</v>
      </c>
      <c r="E100" s="22">
        <v>0</v>
      </c>
      <c r="F100" s="22">
        <v>15000</v>
      </c>
      <c r="G100" s="22">
        <v>0</v>
      </c>
      <c r="H100" s="21">
        <v>0</v>
      </c>
      <c r="I100" s="21"/>
      <c r="J100" s="21">
        <v>15000</v>
      </c>
      <c r="K100" s="21">
        <v>0</v>
      </c>
      <c r="L100" s="22">
        <f t="shared" si="6"/>
        <v>15000</v>
      </c>
    </row>
    <row r="101" spans="1:12" x14ac:dyDescent="0.25">
      <c r="A101" t="s">
        <v>1267</v>
      </c>
      <c r="B101" s="7" t="s">
        <v>519</v>
      </c>
      <c r="C101" s="22">
        <v>1900</v>
      </c>
      <c r="D101" s="22">
        <v>120</v>
      </c>
      <c r="E101" s="22">
        <v>1900</v>
      </c>
      <c r="F101" s="22">
        <v>1900</v>
      </c>
      <c r="G101" s="22">
        <v>5.08</v>
      </c>
      <c r="H101" s="21">
        <v>250</v>
      </c>
      <c r="I101" s="21"/>
      <c r="J101" s="21">
        <v>1500</v>
      </c>
      <c r="K101" s="21">
        <v>0</v>
      </c>
      <c r="L101" s="22">
        <f t="shared" si="6"/>
        <v>1500</v>
      </c>
    </row>
    <row r="102" spans="1:12" x14ac:dyDescent="0.25">
      <c r="A102" t="s">
        <v>1268</v>
      </c>
      <c r="B102" s="7" t="s">
        <v>521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1">
        <v>0</v>
      </c>
      <c r="I102" s="21"/>
      <c r="J102" s="21">
        <v>0</v>
      </c>
      <c r="K102" s="21">
        <v>0</v>
      </c>
      <c r="L102" s="22">
        <f t="shared" si="6"/>
        <v>0</v>
      </c>
    </row>
    <row r="103" spans="1:12" x14ac:dyDescent="0.25">
      <c r="A103" t="s">
        <v>1269</v>
      </c>
      <c r="B103" s="7" t="s">
        <v>1085</v>
      </c>
      <c r="C103" s="22">
        <v>567</v>
      </c>
      <c r="D103" s="22">
        <v>93</v>
      </c>
      <c r="E103" s="22">
        <v>0</v>
      </c>
      <c r="F103" s="22">
        <v>0</v>
      </c>
      <c r="G103" s="22">
        <v>0</v>
      </c>
      <c r="H103" s="21">
        <v>0</v>
      </c>
      <c r="I103" s="21"/>
      <c r="J103" s="21">
        <v>0</v>
      </c>
      <c r="K103" s="21">
        <v>0</v>
      </c>
      <c r="L103" s="22">
        <f t="shared" si="6"/>
        <v>0</v>
      </c>
    </row>
    <row r="104" spans="1:12" hidden="1" x14ac:dyDescent="0.25">
      <c r="A104" t="s">
        <v>1270</v>
      </c>
      <c r="B104" s="7" t="s">
        <v>1271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1">
        <v>0</v>
      </c>
      <c r="I104" s="21"/>
      <c r="J104" s="21">
        <v>0</v>
      </c>
      <c r="K104" s="21">
        <v>0</v>
      </c>
      <c r="L104" s="22">
        <f t="shared" si="6"/>
        <v>0</v>
      </c>
    </row>
    <row r="105" spans="1:12" x14ac:dyDescent="0.25">
      <c r="A105" t="s">
        <v>1272</v>
      </c>
      <c r="B105" s="7" t="s">
        <v>1273</v>
      </c>
      <c r="C105" s="22">
        <v>0</v>
      </c>
      <c r="D105" s="22">
        <v>0</v>
      </c>
      <c r="E105" s="22">
        <v>0</v>
      </c>
      <c r="F105" s="22">
        <v>2500</v>
      </c>
      <c r="G105" s="22">
        <v>0</v>
      </c>
      <c r="H105" s="21">
        <v>0</v>
      </c>
      <c r="I105" s="21"/>
      <c r="J105" s="21">
        <v>2500</v>
      </c>
      <c r="K105" s="21">
        <v>0</v>
      </c>
      <c r="L105" s="22">
        <f t="shared" si="6"/>
        <v>2500</v>
      </c>
    </row>
    <row r="106" spans="1:12" x14ac:dyDescent="0.25">
      <c r="A106" t="s">
        <v>1274</v>
      </c>
      <c r="B106" s="7" t="s">
        <v>1275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1">
        <v>0</v>
      </c>
      <c r="I106" s="21"/>
      <c r="J106" s="21">
        <v>0</v>
      </c>
      <c r="K106" s="21">
        <v>0</v>
      </c>
      <c r="L106" s="22">
        <f t="shared" si="6"/>
        <v>0</v>
      </c>
    </row>
    <row r="107" spans="1:12" x14ac:dyDescent="0.25">
      <c r="A107" t="s">
        <v>1276</v>
      </c>
      <c r="B107" s="7" t="s">
        <v>1277</v>
      </c>
      <c r="C107" s="22">
        <v>44600</v>
      </c>
      <c r="D107" s="22">
        <v>0</v>
      </c>
      <c r="E107" s="22">
        <v>0</v>
      </c>
      <c r="F107" s="22">
        <v>0</v>
      </c>
      <c r="G107" s="22">
        <v>0</v>
      </c>
      <c r="H107" s="21">
        <v>0</v>
      </c>
      <c r="I107" s="21"/>
      <c r="J107" s="21">
        <v>0</v>
      </c>
      <c r="K107" s="21">
        <v>0</v>
      </c>
      <c r="L107" s="22">
        <f t="shared" si="6"/>
        <v>0</v>
      </c>
    </row>
    <row r="108" spans="1:12" x14ac:dyDescent="0.25">
      <c r="A108" t="s">
        <v>1278</v>
      </c>
      <c r="B108" s="7" t="s">
        <v>1279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1">
        <v>0</v>
      </c>
      <c r="I108" s="21"/>
      <c r="J108" s="21">
        <v>0</v>
      </c>
      <c r="K108" s="21">
        <v>0</v>
      </c>
      <c r="L108" s="22">
        <f t="shared" si="6"/>
        <v>0</v>
      </c>
    </row>
    <row r="109" spans="1:12" hidden="1" x14ac:dyDescent="0.25">
      <c r="A109" t="s">
        <v>1280</v>
      </c>
      <c r="B109" s="7" t="s">
        <v>312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1">
        <v>0</v>
      </c>
      <c r="I109" s="21"/>
      <c r="J109" s="21">
        <v>0</v>
      </c>
      <c r="K109" s="21">
        <v>0</v>
      </c>
      <c r="L109" s="22">
        <f t="shared" si="6"/>
        <v>0</v>
      </c>
    </row>
    <row r="110" spans="1:12" x14ac:dyDescent="0.25">
      <c r="C110" s="22"/>
      <c r="D110" s="22"/>
      <c r="E110" s="22"/>
      <c r="F110" s="22"/>
      <c r="G110" s="22"/>
      <c r="H110" s="21"/>
      <c r="I110" s="21"/>
      <c r="J110" s="21"/>
      <c r="K110" s="21"/>
      <c r="L110" s="22"/>
    </row>
    <row r="111" spans="1:12" x14ac:dyDescent="0.25">
      <c r="C111" s="22"/>
      <c r="D111" s="22"/>
      <c r="E111" s="22"/>
      <c r="F111" s="22"/>
      <c r="G111" s="22"/>
      <c r="H111" s="21"/>
      <c r="I111" s="21"/>
      <c r="J111" s="21"/>
      <c r="K111" s="21"/>
      <c r="L111" s="22"/>
    </row>
    <row r="112" spans="1:12" x14ac:dyDescent="0.25">
      <c r="A112" t="s">
        <v>109</v>
      </c>
      <c r="C112" s="22"/>
      <c r="D112" s="22"/>
      <c r="E112" s="22"/>
      <c r="F112" s="22"/>
      <c r="G112" s="22"/>
      <c r="H112" s="21"/>
      <c r="I112" s="21"/>
      <c r="J112" s="21"/>
      <c r="K112" s="21"/>
      <c r="L112" s="22"/>
    </row>
    <row r="113" spans="1:12" x14ac:dyDescent="0.25">
      <c r="B113" t="s">
        <v>501</v>
      </c>
      <c r="C113" s="20">
        <f t="shared" ref="C113:H113" si="7">SUM(C98:C109)</f>
        <v>92213</v>
      </c>
      <c r="D113" s="20">
        <f t="shared" si="7"/>
        <v>99319</v>
      </c>
      <c r="E113" s="20">
        <f t="shared" si="7"/>
        <v>202794</v>
      </c>
      <c r="F113" s="20">
        <f t="shared" si="7"/>
        <v>20400</v>
      </c>
      <c r="G113" s="20">
        <f t="shared" si="7"/>
        <v>3393.66</v>
      </c>
      <c r="H113" s="20">
        <f t="shared" si="7"/>
        <v>3639</v>
      </c>
      <c r="I113" s="20"/>
      <c r="J113" s="20">
        <f>SUM(J98:J109)</f>
        <v>20000</v>
      </c>
      <c r="K113" s="20">
        <f>SUM(K98:K109)</f>
        <v>0</v>
      </c>
      <c r="L113" s="20">
        <f>SUM(L98:L109)</f>
        <v>20000</v>
      </c>
    </row>
    <row r="114" spans="1:12" x14ac:dyDescent="0.25">
      <c r="C114" s="22"/>
      <c r="D114" s="22"/>
      <c r="E114" s="22"/>
      <c r="F114" s="22"/>
      <c r="G114" s="22"/>
      <c r="H114" s="21"/>
      <c r="I114" s="21"/>
      <c r="J114" s="21"/>
      <c r="K114" s="21"/>
      <c r="L114" s="22"/>
    </row>
    <row r="115" spans="1:12" x14ac:dyDescent="0.25">
      <c r="A115" t="s">
        <v>530</v>
      </c>
      <c r="C115" s="22"/>
      <c r="D115" s="22"/>
      <c r="E115" s="22"/>
      <c r="F115" s="22"/>
      <c r="G115" s="22"/>
      <c r="H115" s="21"/>
      <c r="I115" s="21"/>
      <c r="J115" s="21"/>
      <c r="K115" s="21"/>
      <c r="L115" s="22"/>
    </row>
    <row r="116" spans="1:12" x14ac:dyDescent="0.25">
      <c r="A116" t="s">
        <v>18</v>
      </c>
      <c r="B116" s="7" t="s">
        <v>526</v>
      </c>
      <c r="C116" s="22"/>
      <c r="D116" s="22"/>
      <c r="E116" s="22"/>
      <c r="F116" s="22"/>
      <c r="G116" s="22"/>
      <c r="H116" s="21"/>
      <c r="I116" s="21"/>
      <c r="J116" s="21"/>
      <c r="K116" s="21"/>
      <c r="L116" s="22"/>
    </row>
    <row r="117" spans="1:12" x14ac:dyDescent="0.25">
      <c r="A117" t="s">
        <v>1281</v>
      </c>
      <c r="B117" s="7" t="s">
        <v>1282</v>
      </c>
      <c r="C117" s="22">
        <v>83083</v>
      </c>
      <c r="D117" s="22">
        <v>0</v>
      </c>
      <c r="E117" s="22">
        <v>11594</v>
      </c>
      <c r="F117" s="22">
        <v>13103</v>
      </c>
      <c r="G117" s="22">
        <v>13016.99</v>
      </c>
      <c r="H117" s="21">
        <v>13017</v>
      </c>
      <c r="I117" s="21"/>
      <c r="J117" s="21">
        <v>0</v>
      </c>
      <c r="K117" s="21">
        <v>0</v>
      </c>
      <c r="L117" s="22">
        <f>SUM(J117+K117)</f>
        <v>0</v>
      </c>
    </row>
    <row r="118" spans="1:12" x14ac:dyDescent="0.25">
      <c r="A118" t="s">
        <v>1283</v>
      </c>
      <c r="B118" s="7" t="s">
        <v>1284</v>
      </c>
      <c r="C118" s="22">
        <v>1907980</v>
      </c>
      <c r="D118" s="22">
        <v>694148</v>
      </c>
      <c r="E118" s="22">
        <v>952957</v>
      </c>
      <c r="F118" s="22">
        <v>0</v>
      </c>
      <c r="G118" s="22">
        <v>0</v>
      </c>
      <c r="H118" s="21">
        <v>0</v>
      </c>
      <c r="I118" s="21"/>
      <c r="J118" s="21">
        <v>0</v>
      </c>
      <c r="K118" s="21">
        <v>0</v>
      </c>
      <c r="L118" s="22">
        <f t="shared" ref="L118:L121" si="8">SUM(J118+K118)</f>
        <v>0</v>
      </c>
    </row>
    <row r="119" spans="1:12" x14ac:dyDescent="0.25">
      <c r="A119" t="s">
        <v>1285</v>
      </c>
      <c r="B119" s="7" t="s">
        <v>660</v>
      </c>
      <c r="C119" s="22">
        <v>0</v>
      </c>
      <c r="D119" s="22">
        <v>52189</v>
      </c>
      <c r="E119" s="22">
        <v>0</v>
      </c>
      <c r="F119" s="22">
        <v>0</v>
      </c>
      <c r="G119" s="22">
        <v>0</v>
      </c>
      <c r="H119" s="21">
        <v>0</v>
      </c>
      <c r="I119" s="21"/>
      <c r="J119" s="21">
        <v>0</v>
      </c>
      <c r="K119" s="21">
        <v>0</v>
      </c>
      <c r="L119" s="22">
        <f t="shared" si="8"/>
        <v>0</v>
      </c>
    </row>
    <row r="120" spans="1:12" x14ac:dyDescent="0.25">
      <c r="A120" t="s">
        <v>1286</v>
      </c>
      <c r="B120" s="7" t="s">
        <v>662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1">
        <v>0</v>
      </c>
      <c r="I120" s="21"/>
      <c r="J120" s="21">
        <v>0</v>
      </c>
      <c r="K120" s="21">
        <v>0</v>
      </c>
      <c r="L120" s="22">
        <f t="shared" si="8"/>
        <v>0</v>
      </c>
    </row>
    <row r="121" spans="1:12" x14ac:dyDescent="0.25">
      <c r="A121" t="s">
        <v>1287</v>
      </c>
      <c r="B121" s="7" t="s">
        <v>1288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1">
        <v>0</v>
      </c>
      <c r="I121" s="21"/>
      <c r="J121" s="21">
        <v>0</v>
      </c>
      <c r="K121" s="21">
        <v>0</v>
      </c>
      <c r="L121" s="22">
        <f t="shared" si="8"/>
        <v>0</v>
      </c>
    </row>
    <row r="122" spans="1:12" x14ac:dyDescent="0.25">
      <c r="C122" s="22"/>
      <c r="D122" s="22"/>
      <c r="E122" s="22"/>
      <c r="F122" s="22"/>
      <c r="G122" s="22"/>
      <c r="H122" s="21"/>
      <c r="I122" s="21"/>
      <c r="J122" s="21"/>
      <c r="K122" s="21"/>
      <c r="L122" s="22"/>
    </row>
    <row r="123" spans="1:12" x14ac:dyDescent="0.25">
      <c r="C123" s="22"/>
      <c r="D123" s="22"/>
      <c r="E123" s="22"/>
      <c r="F123" s="22"/>
      <c r="G123" s="22"/>
      <c r="H123" s="21"/>
      <c r="I123" s="21"/>
      <c r="J123" s="21"/>
      <c r="K123" s="21"/>
      <c r="L123" s="22"/>
    </row>
    <row r="124" spans="1:12" x14ac:dyDescent="0.25">
      <c r="A124" t="s">
        <v>109</v>
      </c>
      <c r="C124" s="22"/>
      <c r="D124" s="22"/>
      <c r="E124" s="22"/>
      <c r="F124" s="22"/>
      <c r="G124" s="22"/>
      <c r="H124" s="21"/>
      <c r="I124" s="21"/>
      <c r="J124" s="21"/>
      <c r="K124" s="21"/>
      <c r="L124" s="22"/>
    </row>
    <row r="125" spans="1:12" x14ac:dyDescent="0.25">
      <c r="B125" t="s">
        <v>530</v>
      </c>
      <c r="C125" s="20">
        <f t="shared" ref="C125:H125" si="9">SUM(C117:C121)</f>
        <v>1991063</v>
      </c>
      <c r="D125" s="20">
        <f t="shared" si="9"/>
        <v>746337</v>
      </c>
      <c r="E125" s="20">
        <f t="shared" si="9"/>
        <v>964551</v>
      </c>
      <c r="F125" s="20">
        <f t="shared" si="9"/>
        <v>13103</v>
      </c>
      <c r="G125" s="20">
        <f t="shared" si="9"/>
        <v>13016.99</v>
      </c>
      <c r="H125" s="20">
        <f t="shared" si="9"/>
        <v>13017</v>
      </c>
      <c r="I125" s="20"/>
      <c r="J125" s="20">
        <f>SUM(J117:J121)</f>
        <v>0</v>
      </c>
      <c r="K125" s="20">
        <f>SUM(K117:K121)</f>
        <v>0</v>
      </c>
      <c r="L125" s="20">
        <f>SUM(L117:L121)</f>
        <v>0</v>
      </c>
    </row>
    <row r="126" spans="1:12" x14ac:dyDescent="0.25">
      <c r="C126" s="22"/>
      <c r="D126" s="22"/>
      <c r="E126" s="22"/>
      <c r="F126" s="22"/>
      <c r="G126" s="22"/>
      <c r="H126" s="21"/>
      <c r="I126" s="21"/>
      <c r="J126" s="21"/>
      <c r="K126" s="21"/>
      <c r="L126" s="22"/>
    </row>
    <row r="127" spans="1:12" x14ac:dyDescent="0.25">
      <c r="C127" s="22"/>
      <c r="D127" s="22"/>
      <c r="E127" s="22"/>
      <c r="F127" s="22"/>
      <c r="G127" s="22"/>
      <c r="H127" s="21"/>
      <c r="I127" s="21"/>
      <c r="J127" s="21"/>
      <c r="K127" s="21"/>
      <c r="L127" s="22"/>
    </row>
    <row r="128" spans="1:12" x14ac:dyDescent="0.25">
      <c r="A128" t="s">
        <v>109</v>
      </c>
      <c r="C128" s="22"/>
      <c r="D128" s="22"/>
      <c r="E128" s="22"/>
      <c r="F128" s="22"/>
      <c r="G128" s="22"/>
      <c r="H128" s="21"/>
      <c r="I128" s="21"/>
      <c r="J128" s="21"/>
      <c r="K128" s="21"/>
      <c r="L128" s="22"/>
    </row>
    <row r="129" spans="1:12" x14ac:dyDescent="0.25">
      <c r="A129">
        <v>30</v>
      </c>
      <c r="B129" t="s">
        <v>3677</v>
      </c>
      <c r="C129" s="20">
        <f t="shared" ref="C129:H129" si="10">C38+C68+C94+C113+C125</f>
        <v>3049647</v>
      </c>
      <c r="D129" s="20">
        <f t="shared" si="10"/>
        <v>1790206</v>
      </c>
      <c r="E129" s="20">
        <f t="shared" si="10"/>
        <v>2239703</v>
      </c>
      <c r="F129" s="20">
        <f t="shared" si="10"/>
        <v>1284218</v>
      </c>
      <c r="G129" s="20">
        <f t="shared" si="10"/>
        <v>764693.66</v>
      </c>
      <c r="H129" s="20">
        <f t="shared" si="10"/>
        <v>885786.56</v>
      </c>
      <c r="I129" s="20"/>
      <c r="J129" s="20">
        <f>J38+J68+J94+J113+J125</f>
        <v>1075307.436</v>
      </c>
      <c r="K129" s="20">
        <f>K38+K68+K94+K113+K125</f>
        <v>2691</v>
      </c>
      <c r="L129" s="20">
        <f>L38+L68+L94+L113+L125</f>
        <v>1077998.436</v>
      </c>
    </row>
  </sheetData>
  <sheetProtection algorithmName="SHA-512" hashValue="RZJxEg7dTPMrYnuZWHV6Q0csEJNRDe7Y7VoBUUy8HMs7WsZN8C1l4Spur76I6wxGUwiHv6WgKbaK4A2g++v0hA==" saltValue="bHAkdLtxBSft8Ar9C31KbA==" spinCount="100000" sheet="1" objects="1" scenarios="1" insertRows="0"/>
  <pageMargins left="0.25" right="0.25" top="0.75" bottom="0.75" header="0.3" footer="0.3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AF9E-095C-448E-9437-6B776FE512A6}">
  <sheetPr>
    <pageSetUpPr fitToPage="1"/>
  </sheetPr>
  <dimension ref="A1:K288"/>
  <sheetViews>
    <sheetView tabSelected="1" zoomScaleNormal="100" workbookViewId="0">
      <pane ySplit="7" topLeftCell="A8" activePane="bottomLeft" state="frozen"/>
      <selection pane="bottomLeft" activeCell="K65" sqref="K65"/>
    </sheetView>
  </sheetViews>
  <sheetFormatPr defaultColWidth="11.42578125" defaultRowHeight="15" x14ac:dyDescent="0.25"/>
  <cols>
    <col min="1" max="1" width="36.7109375" style="33" bestFit="1" customWidth="1"/>
    <col min="2" max="2" width="13" style="33" bestFit="1" customWidth="1"/>
    <col min="3" max="3" width="14.7109375" style="33" bestFit="1" customWidth="1"/>
    <col min="4" max="4" width="12.5703125" style="33" bestFit="1" customWidth="1"/>
    <col min="5" max="5" width="13.85546875" style="33" bestFit="1" customWidth="1"/>
    <col min="6" max="6" width="12.7109375" style="33" bestFit="1" customWidth="1"/>
    <col min="7" max="7" width="16.28515625" style="33" bestFit="1" customWidth="1"/>
    <col min="8" max="8" width="13.85546875" style="33" customWidth="1"/>
    <col min="9" max="9" width="12.7109375" style="48" bestFit="1" customWidth="1"/>
    <col min="10" max="10" width="14.42578125" style="48" bestFit="1" customWidth="1"/>
    <col min="11" max="11" width="13.85546875" style="33" bestFit="1" customWidth="1"/>
    <col min="12" max="16384" width="11.42578125" style="33"/>
  </cols>
  <sheetData>
    <row r="1" spans="1:11" x14ac:dyDescent="0.25">
      <c r="A1" s="32" t="s">
        <v>3409</v>
      </c>
      <c r="I1" s="34"/>
      <c r="J1" s="34"/>
    </row>
    <row r="2" spans="1:11" x14ac:dyDescent="0.25">
      <c r="A2" s="35"/>
      <c r="B2" s="36"/>
      <c r="E2" s="36"/>
      <c r="F2" s="36"/>
      <c r="I2" s="34"/>
      <c r="J2" s="34"/>
    </row>
    <row r="3" spans="1:11" x14ac:dyDescent="0.25">
      <c r="E3" s="37" t="s">
        <v>2</v>
      </c>
      <c r="F3" s="38" t="s">
        <v>3410</v>
      </c>
      <c r="G3" s="33" t="s">
        <v>4</v>
      </c>
      <c r="I3" s="37" t="s">
        <v>3411</v>
      </c>
      <c r="J3" s="38" t="s">
        <v>3412</v>
      </c>
      <c r="K3" s="39" t="s">
        <v>3413</v>
      </c>
    </row>
    <row r="4" spans="1:11" x14ac:dyDescent="0.25">
      <c r="B4" s="38" t="s">
        <v>7</v>
      </c>
      <c r="C4" s="38" t="s">
        <v>8</v>
      </c>
      <c r="D4" s="38" t="s">
        <v>9</v>
      </c>
      <c r="E4" s="38" t="s">
        <v>10</v>
      </c>
      <c r="F4" s="38" t="s">
        <v>11</v>
      </c>
      <c r="G4" s="38" t="s">
        <v>12</v>
      </c>
      <c r="H4" s="38"/>
      <c r="I4" s="38" t="s">
        <v>3414</v>
      </c>
      <c r="J4" s="38" t="s">
        <v>3415</v>
      </c>
      <c r="K4" s="38" t="s">
        <v>3416</v>
      </c>
    </row>
    <row r="5" spans="1:11" x14ac:dyDescent="0.25">
      <c r="B5" s="38" t="s">
        <v>15</v>
      </c>
      <c r="C5" s="38" t="s">
        <v>15</v>
      </c>
      <c r="D5" s="38" t="s">
        <v>15</v>
      </c>
      <c r="E5" s="38" t="s">
        <v>16</v>
      </c>
      <c r="F5" s="40">
        <v>45889</v>
      </c>
      <c r="G5" s="38" t="s">
        <v>17</v>
      </c>
      <c r="H5" s="38"/>
      <c r="I5" s="38" t="s">
        <v>13</v>
      </c>
      <c r="J5" s="38" t="s">
        <v>3417</v>
      </c>
      <c r="K5" s="38" t="s">
        <v>13</v>
      </c>
    </row>
    <row r="6" spans="1:11" x14ac:dyDescent="0.25">
      <c r="A6" t="s">
        <v>19</v>
      </c>
      <c r="B6" s="33" t="s">
        <v>20</v>
      </c>
      <c r="C6" s="33" t="s">
        <v>21</v>
      </c>
      <c r="D6" s="33" t="s">
        <v>22</v>
      </c>
      <c r="E6" s="33" t="s">
        <v>23</v>
      </c>
      <c r="F6" s="33" t="s">
        <v>24</v>
      </c>
      <c r="G6" s="33" t="s">
        <v>20</v>
      </c>
      <c r="I6" s="33" t="s">
        <v>24</v>
      </c>
      <c r="J6" s="33" t="s">
        <v>20</v>
      </c>
      <c r="K6" s="33" t="s">
        <v>20</v>
      </c>
    </row>
    <row r="7" spans="1:11" x14ac:dyDescent="0.25">
      <c r="A7" s="36"/>
      <c r="B7" s="41"/>
      <c r="C7" s="41"/>
      <c r="D7" s="41"/>
      <c r="E7" s="41"/>
      <c r="F7" s="41"/>
      <c r="G7" s="38"/>
      <c r="H7" s="41"/>
      <c r="I7" s="41"/>
      <c r="J7" s="41"/>
    </row>
    <row r="8" spans="1:11" x14ac:dyDescent="0.25">
      <c r="B8" s="41"/>
      <c r="C8" s="41"/>
      <c r="D8" s="41"/>
      <c r="E8" s="42"/>
      <c r="F8" s="41"/>
      <c r="G8" s="38"/>
      <c r="H8" s="41"/>
      <c r="I8" s="41"/>
      <c r="J8" s="41"/>
    </row>
    <row r="9" spans="1:11" x14ac:dyDescent="0.25">
      <c r="B9" s="41"/>
      <c r="C9" s="41"/>
      <c r="D9" s="41"/>
      <c r="E9" s="42"/>
      <c r="F9" s="41"/>
      <c r="G9" s="38"/>
      <c r="H9" s="41"/>
      <c r="I9" s="41"/>
      <c r="J9" s="41"/>
    </row>
    <row r="10" spans="1:11" x14ac:dyDescent="0.25">
      <c r="B10" s="43"/>
      <c r="C10" s="44"/>
      <c r="D10" s="45"/>
      <c r="E10" s="45"/>
      <c r="F10" s="45"/>
      <c r="G10" s="46"/>
      <c r="H10" s="45"/>
      <c r="I10" s="45"/>
      <c r="J10" s="45"/>
    </row>
    <row r="11" spans="1:11" x14ac:dyDescent="0.25">
      <c r="B11" s="47"/>
      <c r="E11" s="47"/>
      <c r="F11" s="47"/>
    </row>
    <row r="12" spans="1:11" x14ac:dyDescent="0.25">
      <c r="A12" s="49" t="s">
        <v>3418</v>
      </c>
      <c r="C12" s="50" t="s">
        <v>3419</v>
      </c>
      <c r="D12" s="50"/>
      <c r="H12" s="50"/>
    </row>
    <row r="13" spans="1:11" x14ac:dyDescent="0.25">
      <c r="A13" s="49"/>
      <c r="B13" s="51"/>
      <c r="C13" s="50"/>
      <c r="D13" s="50"/>
      <c r="E13" s="51"/>
      <c r="F13" s="51"/>
      <c r="H13" s="50"/>
    </row>
    <row r="14" spans="1:11" hidden="1" x14ac:dyDescent="0.25">
      <c r="A14" s="39" t="s">
        <v>3420</v>
      </c>
      <c r="B14" s="51">
        <v>5216638</v>
      </c>
      <c r="C14" s="51">
        <v>7013566</v>
      </c>
      <c r="D14" s="51">
        <v>9444859</v>
      </c>
      <c r="E14" s="51">
        <v>13185344</v>
      </c>
      <c r="F14" s="51">
        <v>0</v>
      </c>
      <c r="G14" s="51">
        <v>13185344</v>
      </c>
      <c r="H14" s="51"/>
      <c r="I14" s="51">
        <v>0</v>
      </c>
      <c r="J14" s="51">
        <v>0</v>
      </c>
      <c r="K14" s="52">
        <f>G56</f>
        <v>17163936.700000003</v>
      </c>
    </row>
    <row r="15" spans="1:11" x14ac:dyDescent="0.25">
      <c r="B15" s="53"/>
      <c r="E15" s="53"/>
      <c r="F15" s="53"/>
      <c r="G15" s="54"/>
    </row>
    <row r="16" spans="1:11" x14ac:dyDescent="0.25">
      <c r="A16" s="55" t="s">
        <v>3421</v>
      </c>
      <c r="B16" s="51">
        <f>('General Fund Revenue'!C238)-B18</f>
        <v>11074039</v>
      </c>
      <c r="C16" s="51">
        <f>('General Fund Revenue'!D238)-C18</f>
        <v>12480985</v>
      </c>
      <c r="D16" s="51">
        <f>('General Fund Revenue'!E238)-D18</f>
        <v>14476579</v>
      </c>
      <c r="E16" s="51">
        <f>('General Fund Revenue'!F238)-E18</f>
        <v>12079859</v>
      </c>
      <c r="F16" s="51">
        <f>('General Fund Revenue'!G238)-F18</f>
        <v>10479783.030000001</v>
      </c>
      <c r="G16" s="51">
        <f>('General Fund Revenue'!H238)-G18</f>
        <v>11542166</v>
      </c>
      <c r="H16" s="51"/>
      <c r="I16" s="51">
        <f>('General Fund Revenue'!J238)-I18</f>
        <v>11843495</v>
      </c>
      <c r="J16" s="51">
        <f>('General Fund Revenue'!K238)-J18</f>
        <v>0</v>
      </c>
      <c r="K16" s="51">
        <f>('General Fund Revenue'!L238)-K18</f>
        <v>11843495</v>
      </c>
    </row>
    <row r="17" spans="1:11" x14ac:dyDescent="0.25">
      <c r="B17" s="51"/>
      <c r="C17" s="51"/>
      <c r="D17" s="51"/>
      <c r="E17" s="51"/>
      <c r="F17" s="51"/>
      <c r="G17" s="51"/>
      <c r="H17" s="51"/>
    </row>
    <row r="18" spans="1:11" x14ac:dyDescent="0.25">
      <c r="A18" s="55" t="s">
        <v>3422</v>
      </c>
      <c r="B18" s="51">
        <f>'General Fund Revenue'!C45</f>
        <v>1600000</v>
      </c>
      <c r="C18" s="51">
        <f>'General Fund Revenue'!D45</f>
        <v>2059643</v>
      </c>
      <c r="D18" s="51">
        <f>'General Fund Revenue'!E45</f>
        <v>2059643</v>
      </c>
      <c r="E18" s="51">
        <f>'General Fund Revenue'!F45</f>
        <v>3643573</v>
      </c>
      <c r="F18" s="51">
        <f>'General Fund Revenue'!G45</f>
        <v>1544732.28</v>
      </c>
      <c r="G18" s="51">
        <f>'General Fund Revenue'!H45</f>
        <v>3643573</v>
      </c>
      <c r="H18" s="51"/>
      <c r="I18" s="51">
        <f>'General Fund Revenue'!J45</f>
        <v>3643573</v>
      </c>
      <c r="J18" s="51">
        <f>'General Fund Revenue'!K45</f>
        <v>0</v>
      </c>
      <c r="K18" s="51">
        <f>'General Fund Revenue'!L45</f>
        <v>3643573</v>
      </c>
    </row>
    <row r="19" spans="1:11" x14ac:dyDescent="0.25">
      <c r="B19" s="51"/>
      <c r="C19" s="51"/>
      <c r="D19" s="51"/>
      <c r="E19" s="51"/>
      <c r="F19" s="51"/>
      <c r="G19" s="51"/>
      <c r="H19" s="51"/>
    </row>
    <row r="20" spans="1:11" x14ac:dyDescent="0.25">
      <c r="A20" s="55" t="s">
        <v>3423</v>
      </c>
      <c r="B20" s="51"/>
      <c r="C20" s="51"/>
      <c r="D20" s="51"/>
      <c r="E20" s="51"/>
      <c r="F20" s="51"/>
      <c r="G20" s="51"/>
      <c r="H20" s="51"/>
    </row>
    <row r="21" spans="1:11" x14ac:dyDescent="0.25">
      <c r="B21" s="51"/>
      <c r="C21" s="51"/>
      <c r="D21" s="51"/>
      <c r="E21" s="51"/>
      <c r="F21" s="51"/>
      <c r="G21" s="51"/>
      <c r="H21" s="51"/>
    </row>
    <row r="22" spans="1:11" x14ac:dyDescent="0.25">
      <c r="A22" s="33" t="s">
        <v>3424</v>
      </c>
      <c r="B22" s="51">
        <f>Admin!C112</f>
        <v>292410</v>
      </c>
      <c r="C22" s="51">
        <f>Admin!D112</f>
        <v>495339</v>
      </c>
      <c r="D22" s="51">
        <f>Admin!E112</f>
        <v>410794</v>
      </c>
      <c r="E22" s="51">
        <f>Admin!F112</f>
        <v>420027</v>
      </c>
      <c r="F22" s="51">
        <f>Admin!G112</f>
        <v>449523.93</v>
      </c>
      <c r="G22" s="51">
        <f>Admin!H112</f>
        <v>385082</v>
      </c>
      <c r="H22" s="51"/>
      <c r="I22" s="51">
        <f>Admin!J112</f>
        <v>321829.56</v>
      </c>
      <c r="J22" s="51">
        <f>Admin!K112</f>
        <v>0</v>
      </c>
      <c r="K22" s="51">
        <f>Admin!L112</f>
        <v>321829.56</v>
      </c>
    </row>
    <row r="23" spans="1:11" x14ac:dyDescent="0.25">
      <c r="A23" s="33" t="s">
        <v>3425</v>
      </c>
      <c r="B23" s="51">
        <f>'Non Departmental'!C73</f>
        <v>148851</v>
      </c>
      <c r="C23" s="51">
        <f>'Non Departmental'!D73</f>
        <v>231610</v>
      </c>
      <c r="D23" s="51">
        <f>'Non Departmental'!E73</f>
        <v>367357</v>
      </c>
      <c r="E23" s="51">
        <f>'Non Departmental'!F73</f>
        <v>885796</v>
      </c>
      <c r="F23" s="51">
        <f>'Non Departmental'!G73</f>
        <v>301146.31</v>
      </c>
      <c r="G23" s="51">
        <f>'Non Departmental'!H73</f>
        <v>337986</v>
      </c>
      <c r="H23" s="51"/>
      <c r="I23" s="51">
        <f>'Non Departmental'!J73</f>
        <v>138250</v>
      </c>
      <c r="J23" s="51">
        <f>'Non Departmental'!K73</f>
        <v>40350</v>
      </c>
      <c r="K23" s="51">
        <f>'Non Departmental'!L73</f>
        <v>178600</v>
      </c>
    </row>
    <row r="24" spans="1:11" x14ac:dyDescent="0.25">
      <c r="A24" s="33" t="s">
        <v>3426</v>
      </c>
      <c r="B24" s="51">
        <f>'Development Service'!C116</f>
        <v>887058</v>
      </c>
      <c r="C24" s="51">
        <f>'Development Service'!D116</f>
        <v>1038672</v>
      </c>
      <c r="D24" s="51">
        <f>'Development Service'!E116</f>
        <v>1056120</v>
      </c>
      <c r="E24" s="51">
        <f>'Development Service'!F116</f>
        <v>1272088</v>
      </c>
      <c r="F24" s="51">
        <f>'Development Service'!G116</f>
        <v>806193.95999999985</v>
      </c>
      <c r="G24" s="51">
        <f>'Development Service'!H116</f>
        <v>915371.81</v>
      </c>
      <c r="H24" s="51"/>
      <c r="I24" s="51">
        <f>'Development Service'!J116</f>
        <v>820639.08700000006</v>
      </c>
      <c r="J24" s="51">
        <f>'Development Service'!K116</f>
        <v>0</v>
      </c>
      <c r="K24" s="51">
        <f>'Development Service'!L116</f>
        <v>820639.08700000006</v>
      </c>
    </row>
    <row r="25" spans="1:11" x14ac:dyDescent="0.25">
      <c r="A25" s="33" t="s">
        <v>3427</v>
      </c>
      <c r="B25" s="51">
        <f>Finance!C97</f>
        <v>297441</v>
      </c>
      <c r="C25" s="51">
        <f>Finance!D97</f>
        <v>412206</v>
      </c>
      <c r="D25" s="51">
        <f>Finance!E97</f>
        <v>693094</v>
      </c>
      <c r="E25" s="51">
        <f>Finance!F97</f>
        <v>675039</v>
      </c>
      <c r="F25" s="51">
        <f>Finance!G97</f>
        <v>373678.92999999993</v>
      </c>
      <c r="G25" s="51">
        <f>Finance!H97</f>
        <v>466538</v>
      </c>
      <c r="H25" s="51"/>
      <c r="I25" s="51">
        <f>Finance!J97</f>
        <v>524300.21200000006</v>
      </c>
      <c r="J25" s="51">
        <f>Finance!K97</f>
        <v>0</v>
      </c>
      <c r="K25" s="51">
        <f>Finance!L97</f>
        <v>478540.212</v>
      </c>
    </row>
    <row r="26" spans="1:11" x14ac:dyDescent="0.25">
      <c r="A26" s="33" t="s">
        <v>3428</v>
      </c>
      <c r="B26" s="51">
        <f>HR!C97</f>
        <v>154903</v>
      </c>
      <c r="C26" s="51">
        <f>HR!D97</f>
        <v>168185</v>
      </c>
      <c r="D26" s="51">
        <f>HR!E97</f>
        <v>172100</v>
      </c>
      <c r="E26" s="51">
        <f>HR!F97</f>
        <v>202444</v>
      </c>
      <c r="F26" s="51">
        <f>HR!G97</f>
        <v>131694.42000000001</v>
      </c>
      <c r="G26" s="51">
        <f>HR!H97</f>
        <v>167678.35999999999</v>
      </c>
      <c r="H26" s="51"/>
      <c r="I26" s="51">
        <f>HR!J97</f>
        <v>204224.32600000003</v>
      </c>
      <c r="J26" s="51">
        <f>HR!K97</f>
        <v>0</v>
      </c>
      <c r="K26" s="51">
        <f>HR!L97</f>
        <v>204224.32600000003</v>
      </c>
    </row>
    <row r="27" spans="1:11" x14ac:dyDescent="0.25">
      <c r="A27" s="33" t="s">
        <v>3429</v>
      </c>
      <c r="B27" s="51">
        <f>Court!C91</f>
        <v>174735</v>
      </c>
      <c r="C27" s="51">
        <f>Court!D91</f>
        <v>196093</v>
      </c>
      <c r="D27" s="51">
        <f>Court!E91</f>
        <v>185132</v>
      </c>
      <c r="E27" s="51">
        <f>Court!F91</f>
        <v>232507</v>
      </c>
      <c r="F27" s="51">
        <f>Court!G91</f>
        <v>172377.15000000005</v>
      </c>
      <c r="G27" s="51">
        <f>Court!H91</f>
        <v>223808</v>
      </c>
      <c r="H27" s="51"/>
      <c r="I27" s="51">
        <f>Court!J91</f>
        <v>229029.00599999999</v>
      </c>
      <c r="J27" s="51">
        <f>Court!K91</f>
        <v>0</v>
      </c>
      <c r="K27" s="51">
        <f>Court!L91</f>
        <v>229029.00599999999</v>
      </c>
    </row>
    <row r="28" spans="1:11" x14ac:dyDescent="0.25">
      <c r="A28" s="33" t="s">
        <v>3430</v>
      </c>
      <c r="B28" s="51">
        <f>'City Secretary'!C77</f>
        <v>121026</v>
      </c>
      <c r="C28" s="51">
        <f>'City Secretary'!D77</f>
        <v>118461</v>
      </c>
      <c r="D28" s="51">
        <f>'City Secretary'!E77</f>
        <v>154175</v>
      </c>
      <c r="E28" s="51">
        <f>'City Secretary'!F77</f>
        <v>150634</v>
      </c>
      <c r="F28" s="51">
        <f>'City Secretary'!G77</f>
        <v>182703.03000000003</v>
      </c>
      <c r="G28" s="51">
        <f>'City Secretary'!H77</f>
        <v>201527</v>
      </c>
      <c r="H28" s="51"/>
      <c r="I28" s="51">
        <f>'City Secretary'!J77</f>
        <v>177197.37599999999</v>
      </c>
      <c r="J28" s="51">
        <f>'City Secretary'!K77</f>
        <v>0</v>
      </c>
      <c r="K28" s="51">
        <f>'City Secretary'!L77</f>
        <v>177197.37599999999</v>
      </c>
    </row>
    <row r="29" spans="1:11" x14ac:dyDescent="0.25">
      <c r="A29" s="33" t="s">
        <v>3431</v>
      </c>
      <c r="B29" s="51">
        <f>'Economic Development'!C112</f>
        <v>285913</v>
      </c>
      <c r="C29" s="51">
        <f>'Economic Development'!D112</f>
        <v>256923</v>
      </c>
      <c r="D29" s="51">
        <f>'Economic Development'!E112</f>
        <v>254570</v>
      </c>
      <c r="E29" s="51">
        <f>'Economic Development'!F112</f>
        <v>348326</v>
      </c>
      <c r="F29" s="51">
        <f>'Economic Development'!G112</f>
        <v>260513.57</v>
      </c>
      <c r="G29" s="51">
        <f>'Economic Development'!H112</f>
        <v>301366.62</v>
      </c>
      <c r="H29" s="51"/>
      <c r="I29" s="51">
        <f>'Economic Development'!J112</f>
        <v>381495.82299999997</v>
      </c>
      <c r="J29" s="51">
        <f>'Economic Development'!K112</f>
        <v>5000</v>
      </c>
      <c r="K29" s="51">
        <f>'Economic Development'!L112</f>
        <v>386495.82299999997</v>
      </c>
    </row>
    <row r="30" spans="1:11" x14ac:dyDescent="0.25">
      <c r="A30" s="33" t="s">
        <v>3432</v>
      </c>
      <c r="B30" s="51">
        <f>Legal!C95</f>
        <v>209267</v>
      </c>
      <c r="C30" s="51">
        <f>Legal!D95</f>
        <v>427268</v>
      </c>
      <c r="D30" s="51">
        <f>Legal!E95</f>
        <v>474430</v>
      </c>
      <c r="E30" s="51">
        <f>Legal!F95</f>
        <v>405000</v>
      </c>
      <c r="F30" s="51">
        <f>Legal!G95</f>
        <v>328524.51</v>
      </c>
      <c r="G30" s="51">
        <f>Legal!H95</f>
        <v>405000</v>
      </c>
      <c r="H30" s="51"/>
      <c r="I30" s="51">
        <f>Legal!J95</f>
        <v>450000</v>
      </c>
      <c r="J30" s="51">
        <f>Legal!K95</f>
        <v>0</v>
      </c>
      <c r="K30" s="51">
        <f>Legal!L95</f>
        <v>450000</v>
      </c>
    </row>
    <row r="31" spans="1:11" x14ac:dyDescent="0.25">
      <c r="A31" s="33" t="s">
        <v>3433</v>
      </c>
      <c r="B31" s="51">
        <f>'Police Department'!C170</f>
        <v>2206657</v>
      </c>
      <c r="C31" s="51">
        <f>'Police Department'!D170</f>
        <v>2833629</v>
      </c>
      <c r="D31" s="51">
        <f>'Police Department'!E170</f>
        <v>3028028</v>
      </c>
      <c r="E31" s="51">
        <f>'Police Department'!F170</f>
        <v>3755883</v>
      </c>
      <c r="F31" s="51">
        <f>'Police Department'!G170</f>
        <v>2734794.5</v>
      </c>
      <c r="G31" s="51">
        <f>'Police Department'!H170</f>
        <v>3145090</v>
      </c>
      <c r="H31" s="51"/>
      <c r="I31" s="51">
        <f>'Police Department'!J170</f>
        <v>3456088.7690000003</v>
      </c>
      <c r="J31" s="51">
        <f>'Police Department'!K170</f>
        <v>206702.76</v>
      </c>
      <c r="K31" s="51">
        <f>'Police Department'!L170</f>
        <v>3662791.5290000001</v>
      </c>
    </row>
    <row r="32" spans="1:11" x14ac:dyDescent="0.25">
      <c r="A32" s="33" t="s">
        <v>3434</v>
      </c>
      <c r="B32" s="51">
        <f>'Code Enforcement'!C99</f>
        <v>0</v>
      </c>
      <c r="C32" s="51">
        <f>'Code Enforcement'!D99</f>
        <v>0</v>
      </c>
      <c r="D32" s="51">
        <f>'Code Enforcement'!E99</f>
        <v>0</v>
      </c>
      <c r="E32" s="51">
        <f>'Code Enforcement'!F99</f>
        <v>243714</v>
      </c>
      <c r="F32" s="51">
        <f>'Code Enforcement'!G99</f>
        <v>180073.36999999997</v>
      </c>
      <c r="G32" s="51">
        <f>'Code Enforcement'!H99</f>
        <v>200834</v>
      </c>
      <c r="H32" s="51"/>
      <c r="I32" s="51">
        <f>'Code Enforcement'!J99</f>
        <v>215095.29800000001</v>
      </c>
      <c r="J32" s="51">
        <f>'Code Enforcement'!K99</f>
        <v>5000</v>
      </c>
      <c r="K32" s="51">
        <f>'Code Enforcement'!L99</f>
        <v>220095.29800000001</v>
      </c>
    </row>
    <row r="33" spans="1:11" x14ac:dyDescent="0.25">
      <c r="A33" s="33" t="s">
        <v>3435</v>
      </c>
      <c r="B33" s="51">
        <f>Dispatch!C94</f>
        <v>372680</v>
      </c>
      <c r="C33" s="51">
        <f>Dispatch!D94</f>
        <v>508121</v>
      </c>
      <c r="D33" s="51">
        <f>Dispatch!E94</f>
        <v>475522</v>
      </c>
      <c r="E33" s="51">
        <f>Dispatch!F94</f>
        <v>666800</v>
      </c>
      <c r="F33" s="51">
        <f>Dispatch!G94</f>
        <v>383143.13</v>
      </c>
      <c r="G33" s="51">
        <f>Dispatch!H94</f>
        <v>427704</v>
      </c>
      <c r="H33" s="51"/>
      <c r="I33" s="51">
        <f>Dispatch!J94</f>
        <v>466040.12400000001</v>
      </c>
      <c r="J33" s="51">
        <f>Dispatch!K94</f>
        <v>3000</v>
      </c>
      <c r="K33" s="51">
        <f>Dispatch!L94</f>
        <v>469040.12400000001</v>
      </c>
    </row>
    <row r="34" spans="1:11" x14ac:dyDescent="0.25">
      <c r="A34" s="33" t="s">
        <v>3436</v>
      </c>
      <c r="B34" s="51">
        <f>Streets!C129</f>
        <v>3049647</v>
      </c>
      <c r="C34" s="51">
        <f>Streets!D129</f>
        <v>1790206</v>
      </c>
      <c r="D34" s="51">
        <f>Streets!E129</f>
        <v>2239703</v>
      </c>
      <c r="E34" s="51">
        <f>Streets!F129</f>
        <v>1284218</v>
      </c>
      <c r="F34" s="51">
        <f>Streets!G129</f>
        <v>764693.66</v>
      </c>
      <c r="G34" s="51">
        <f>Streets!H129</f>
        <v>885786.56</v>
      </c>
      <c r="H34" s="51"/>
      <c r="I34" s="51">
        <f>Streets!J129</f>
        <v>1075307.436</v>
      </c>
      <c r="J34" s="51">
        <f>Streets!K129</f>
        <v>2691</v>
      </c>
      <c r="K34" s="51">
        <f>Streets!L129</f>
        <v>1077998.436</v>
      </c>
    </row>
    <row r="35" spans="1:11" x14ac:dyDescent="0.25">
      <c r="A35" s="33" t="s">
        <v>3437</v>
      </c>
      <c r="B35" s="51">
        <f>'Solid Waste'!C65</f>
        <v>993482</v>
      </c>
      <c r="C35" s="51">
        <f>'Solid Waste'!D65</f>
        <v>1202774</v>
      </c>
      <c r="D35" s="51">
        <f>'Solid Waste'!E65</f>
        <v>1134736</v>
      </c>
      <c r="E35" s="51">
        <f>'Solid Waste'!F65</f>
        <v>1333171</v>
      </c>
      <c r="F35" s="51">
        <f>'Solid Waste'!G65</f>
        <v>1138050.82</v>
      </c>
      <c r="G35" s="51">
        <f>'Solid Waste'!H65</f>
        <v>1239275</v>
      </c>
      <c r="H35" s="51"/>
      <c r="I35" s="51">
        <f>'Solid Waste'!J65</f>
        <v>1207780.8</v>
      </c>
      <c r="J35" s="51">
        <f>'Solid Waste'!K65</f>
        <v>57859</v>
      </c>
      <c r="K35" s="51">
        <f>'Solid Waste'!L65</f>
        <v>1265639.8</v>
      </c>
    </row>
    <row r="36" spans="1:11" x14ac:dyDescent="0.25">
      <c r="A36" s="33" t="s">
        <v>3438</v>
      </c>
      <c r="B36" s="51">
        <f>'Building Maintenance'!C49</f>
        <v>34506</v>
      </c>
      <c r="C36" s="51">
        <f>'Building Maintenance'!D49</f>
        <v>46070</v>
      </c>
      <c r="D36" s="51">
        <f>'Building Maintenance'!E49</f>
        <v>57456</v>
      </c>
      <c r="E36" s="51">
        <f>'Building Maintenance'!F49</f>
        <v>90950</v>
      </c>
      <c r="F36" s="51">
        <f>'Building Maintenance'!G49</f>
        <v>64714.880000000005</v>
      </c>
      <c r="G36" s="51">
        <f>'Building Maintenance'!H49</f>
        <v>74930</v>
      </c>
      <c r="H36" s="51"/>
      <c r="I36" s="51">
        <f>'Building Maintenance'!J49</f>
        <v>45130</v>
      </c>
      <c r="J36" s="51">
        <f>'Building Maintenance'!K49</f>
        <v>0</v>
      </c>
      <c r="K36" s="51">
        <f>'Building Maintenance'!L49</f>
        <v>45130</v>
      </c>
    </row>
    <row r="37" spans="1:11" x14ac:dyDescent="0.25">
      <c r="A37" s="33" t="s">
        <v>3439</v>
      </c>
      <c r="B37" s="51">
        <f>'Parks &amp; Rec'!C115</f>
        <v>374670</v>
      </c>
      <c r="C37" s="51">
        <f>'Parks &amp; Rec'!D115</f>
        <v>660780</v>
      </c>
      <c r="D37" s="51">
        <f>'Parks &amp; Rec'!E115</f>
        <v>396360</v>
      </c>
      <c r="E37" s="51">
        <f>'Parks &amp; Rec'!F115</f>
        <v>1217094</v>
      </c>
      <c r="F37" s="51">
        <f>'Parks &amp; Rec'!G115</f>
        <v>739944.75</v>
      </c>
      <c r="G37" s="51">
        <f>'Parks &amp; Rec'!H115</f>
        <v>682482.61</v>
      </c>
      <c r="H37" s="51"/>
      <c r="I37" s="51">
        <f>'Parks &amp; Rec'!J115</f>
        <v>972475.51</v>
      </c>
      <c r="J37" s="51">
        <f>'Parks &amp; Rec'!K115</f>
        <v>100000</v>
      </c>
      <c r="K37" s="51">
        <f>'Parks &amp; Rec'!L115</f>
        <v>1072475.51</v>
      </c>
    </row>
    <row r="38" spans="1:11" x14ac:dyDescent="0.25">
      <c r="A38" s="33" t="s">
        <v>3440</v>
      </c>
      <c r="B38" s="51">
        <f>Aquatics!C73</f>
        <v>156283</v>
      </c>
      <c r="C38" s="51">
        <f>Aquatics!D73</f>
        <v>96685</v>
      </c>
      <c r="D38" s="51">
        <f>Aquatics!E73</f>
        <v>233767</v>
      </c>
      <c r="E38" s="51">
        <f>Aquatics!F73</f>
        <v>176742</v>
      </c>
      <c r="F38" s="51">
        <f>Aquatics!G73</f>
        <v>113246.23999999999</v>
      </c>
      <c r="G38" s="51">
        <f>Aquatics!H73</f>
        <v>135587.78</v>
      </c>
      <c r="H38" s="51"/>
      <c r="I38" s="51">
        <f>Aquatics!J73</f>
        <v>158370.95799999998</v>
      </c>
      <c r="J38" s="51">
        <f>Aquatics!K73</f>
        <v>16000</v>
      </c>
      <c r="K38" s="51">
        <f>Aquatics!L73</f>
        <v>174370.95799999998</v>
      </c>
    </row>
    <row r="39" spans="1:11" hidden="1" x14ac:dyDescent="0.25">
      <c r="A39" s="33" t="s">
        <v>3441</v>
      </c>
      <c r="B39" s="51"/>
      <c r="C39" s="51"/>
      <c r="D39" s="51"/>
      <c r="E39" s="51"/>
      <c r="F39" s="51"/>
      <c r="G39" s="56"/>
      <c r="H39" s="51"/>
      <c r="I39" s="51"/>
      <c r="J39" s="51"/>
    </row>
    <row r="40" spans="1:11" x14ac:dyDescent="0.25">
      <c r="A40" s="33" t="s">
        <v>3442</v>
      </c>
      <c r="B40" s="51">
        <f>Library!C96</f>
        <v>215209</v>
      </c>
      <c r="C40" s="51">
        <f>Library!D96</f>
        <v>271486</v>
      </c>
      <c r="D40" s="51">
        <f>Library!E96</f>
        <v>333800</v>
      </c>
      <c r="E40" s="51">
        <f>Library!F96</f>
        <v>387126</v>
      </c>
      <c r="F40" s="51">
        <f>Library!G96</f>
        <v>311479.13</v>
      </c>
      <c r="G40" s="51">
        <f>Library!H96</f>
        <v>361226</v>
      </c>
      <c r="H40" s="51"/>
      <c r="I40" s="51">
        <f>Library!J96</f>
        <v>367824.61699999997</v>
      </c>
      <c r="J40" s="51">
        <f>Library!K96</f>
        <v>0</v>
      </c>
      <c r="K40" s="51">
        <f>Library!L96</f>
        <v>367824.61699999997</v>
      </c>
    </row>
    <row r="41" spans="1:11" x14ac:dyDescent="0.25">
      <c r="A41" s="33" t="s">
        <v>3443</v>
      </c>
      <c r="B41" s="51">
        <f>'City Council'!C47</f>
        <v>14265</v>
      </c>
      <c r="C41" s="51">
        <f>'City Council'!D47</f>
        <v>41139</v>
      </c>
      <c r="D41" s="51">
        <f>'City Council'!E47</f>
        <v>21267</v>
      </c>
      <c r="E41" s="51">
        <f>'City Council'!F47</f>
        <v>25500</v>
      </c>
      <c r="F41" s="51">
        <f>'City Council'!G47</f>
        <v>21590.81</v>
      </c>
      <c r="G41" s="51">
        <f>'City Council'!H47</f>
        <v>28500</v>
      </c>
      <c r="H41" s="51"/>
      <c r="I41" s="51">
        <f>'City Council'!J47</f>
        <v>28500</v>
      </c>
      <c r="J41" s="51">
        <f>'City Council'!K47</f>
        <v>0</v>
      </c>
      <c r="K41" s="51">
        <f>'City Council'!L47</f>
        <v>28500</v>
      </c>
    </row>
    <row r="42" spans="1:11" x14ac:dyDescent="0.25">
      <c r="A42" s="33" t="s">
        <v>3444</v>
      </c>
      <c r="B42" s="51">
        <f>'General Fund IT'!C90</f>
        <v>0</v>
      </c>
      <c r="C42" s="51">
        <f>'General Fund IT'!D90</f>
        <v>542462</v>
      </c>
      <c r="D42" s="51">
        <f>'General Fund IT'!E90</f>
        <v>501918</v>
      </c>
      <c r="E42" s="51">
        <f>'General Fund IT'!F90</f>
        <v>766318</v>
      </c>
      <c r="F42" s="51">
        <f>'General Fund IT'!G90</f>
        <v>568236.68999999994</v>
      </c>
      <c r="G42" s="51">
        <f>'General Fund IT'!H90</f>
        <v>621372.56000000006</v>
      </c>
      <c r="H42" s="51"/>
      <c r="I42" s="51">
        <f>'General Fund IT'!J90</f>
        <v>567131.36699999997</v>
      </c>
      <c r="J42" s="51">
        <f>'General Fund IT'!K90</f>
        <v>0</v>
      </c>
      <c r="K42" s="51">
        <f>'General Fund IT'!L90</f>
        <v>567131.36699999997</v>
      </c>
    </row>
    <row r="43" spans="1:11" x14ac:dyDescent="0.25">
      <c r="A43" s="33" t="s">
        <v>3445</v>
      </c>
      <c r="B43" s="51">
        <f>'Aviation Fund'!C29</f>
        <v>0</v>
      </c>
      <c r="C43" s="51">
        <f>'Aviation Fund'!D29</f>
        <v>0</v>
      </c>
      <c r="D43" s="51">
        <f>'Aviation Fund'!E29</f>
        <v>0</v>
      </c>
      <c r="E43" s="51">
        <f>'Aviation Fund'!F29</f>
        <v>92299</v>
      </c>
      <c r="F43" s="51">
        <f>'Aviation Fund'!G29</f>
        <v>0</v>
      </c>
      <c r="G43" s="51">
        <f>'Aviation Fund'!H29</f>
        <v>0</v>
      </c>
      <c r="H43" s="51"/>
      <c r="I43" s="51">
        <f>'Aviation Fund'!J29</f>
        <v>50000</v>
      </c>
      <c r="J43" s="51">
        <f>'Aviation Fund'!K29</f>
        <v>0</v>
      </c>
      <c r="K43" s="51">
        <f>'Aviation Fund'!L29</f>
        <v>50000</v>
      </c>
    </row>
    <row r="44" spans="1:11" x14ac:dyDescent="0.25">
      <c r="A44" s="33" t="s">
        <v>3446</v>
      </c>
      <c r="B44" s="51">
        <f>'General Fund Transfers'!C15</f>
        <v>407000</v>
      </c>
      <c r="C44" s="51">
        <f>'General Fund Transfers'!D15</f>
        <v>0</v>
      </c>
      <c r="D44" s="51">
        <f>'General Fund Transfers'!E15</f>
        <v>0</v>
      </c>
      <c r="E44" s="51">
        <f>'General Fund Transfers'!F15</f>
        <v>0</v>
      </c>
      <c r="F44" s="51">
        <f>'General Fund Transfers'!G15</f>
        <v>0</v>
      </c>
      <c r="G44" s="51">
        <f>'General Fund Transfers'!H15</f>
        <v>0</v>
      </c>
      <c r="H44" s="51"/>
      <c r="I44" s="51">
        <f>'General Fund Transfers'!J15</f>
        <v>0</v>
      </c>
      <c r="J44" s="51">
        <f>'General Fund Transfers'!K15</f>
        <v>0</v>
      </c>
      <c r="K44" s="51">
        <f>'General Fund Transfers'!L15</f>
        <v>0</v>
      </c>
    </row>
    <row r="45" spans="1:11" x14ac:dyDescent="0.25">
      <c r="A45" s="33" t="s">
        <v>3447</v>
      </c>
      <c r="B45" s="51">
        <f>'Golf Course Revenue'!C26</f>
        <v>438694</v>
      </c>
      <c r="C45" s="51">
        <f>'Golf Course Revenue'!D26</f>
        <v>800000</v>
      </c>
      <c r="D45" s="51">
        <f>'Golf Course Revenue'!E26</f>
        <v>800000</v>
      </c>
      <c r="E45" s="51">
        <f>'Golf Course Revenue'!F26</f>
        <v>970519</v>
      </c>
      <c r="F45" s="51">
        <f>'Golf Course Revenue'!G26</f>
        <v>0</v>
      </c>
      <c r="G45" s="51">
        <f>'Golf Course Revenue'!H26</f>
        <v>0</v>
      </c>
      <c r="H45" s="51"/>
      <c r="I45" s="51">
        <f>'Golf Course Revenue'!J26</f>
        <v>250000</v>
      </c>
      <c r="J45" s="51">
        <f>'Golf Course Revenue'!K26</f>
        <v>0</v>
      </c>
      <c r="K45" s="51">
        <f>'Golf Course Revenue'!L26</f>
        <v>250000</v>
      </c>
    </row>
    <row r="46" spans="1:11" x14ac:dyDescent="0.25">
      <c r="A46" s="33" t="s">
        <v>3448</v>
      </c>
      <c r="B46" s="51"/>
      <c r="C46" s="51"/>
      <c r="D46" s="51"/>
      <c r="E46" s="51"/>
      <c r="F46" s="51"/>
      <c r="G46" s="51"/>
      <c r="H46" s="51"/>
      <c r="I46" s="51"/>
    </row>
    <row r="47" spans="1:11" x14ac:dyDescent="0.25">
      <c r="A47" s="33" t="s">
        <v>3449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/>
      <c r="I47" s="51">
        <v>0</v>
      </c>
      <c r="J47" s="51">
        <v>0</v>
      </c>
      <c r="K47" s="52">
        <f>I47+J47</f>
        <v>0</v>
      </c>
    </row>
    <row r="48" spans="1:11" x14ac:dyDescent="0.25">
      <c r="A48" s="33" t="s">
        <v>3450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6">
        <v>0</v>
      </c>
      <c r="H48" s="51"/>
      <c r="I48" s="51">
        <v>0</v>
      </c>
      <c r="J48" s="51">
        <v>0</v>
      </c>
      <c r="K48" s="52">
        <f>I48+J48</f>
        <v>0</v>
      </c>
    </row>
    <row r="49" spans="1:11" x14ac:dyDescent="0.25">
      <c r="B49" s="51"/>
      <c r="C49" s="51"/>
      <c r="D49" s="51"/>
      <c r="E49" s="51"/>
      <c r="F49" s="51"/>
      <c r="G49" s="51"/>
      <c r="H49" s="51"/>
    </row>
    <row r="50" spans="1:11" x14ac:dyDescent="0.25">
      <c r="A50" s="33" t="s">
        <v>3451</v>
      </c>
      <c r="B50" s="51">
        <f>SUM(B22:B48)</f>
        <v>10834697</v>
      </c>
      <c r="C50" s="51">
        <f t="shared" ref="C50:E50" si="0">SUM(C22:C48)</f>
        <v>12138109</v>
      </c>
      <c r="D50" s="51">
        <f t="shared" si="0"/>
        <v>12990329</v>
      </c>
      <c r="E50" s="51">
        <f t="shared" si="0"/>
        <v>15602195</v>
      </c>
      <c r="F50" s="51">
        <f>SUM(F22:F48)</f>
        <v>10026323.790000001</v>
      </c>
      <c r="G50" s="51">
        <f>SUM(G22:G48)</f>
        <v>11207146.299999999</v>
      </c>
      <c r="H50" s="51"/>
      <c r="I50" s="51">
        <f>SUM(I22:I48)</f>
        <v>12106710.269000003</v>
      </c>
      <c r="J50" s="51">
        <f>SUM(J22:J48)</f>
        <v>436602.76</v>
      </c>
      <c r="K50" s="51">
        <f>SUM(K22:K48)</f>
        <v>12497553.029000003</v>
      </c>
    </row>
    <row r="51" spans="1:11" x14ac:dyDescent="0.25">
      <c r="B51" s="51"/>
      <c r="C51" s="51"/>
      <c r="D51" s="51"/>
      <c r="E51" s="51"/>
      <c r="F51" s="51"/>
      <c r="G51" s="51"/>
      <c r="H51" s="51"/>
    </row>
    <row r="52" spans="1:11" x14ac:dyDescent="0.25">
      <c r="A52" s="33" t="s">
        <v>3452</v>
      </c>
      <c r="B52" s="51">
        <f>B16+B18-B50</f>
        <v>1839342</v>
      </c>
      <c r="C52" s="51">
        <f t="shared" ref="C52:G52" si="1">C16+C18-C50</f>
        <v>2402519</v>
      </c>
      <c r="D52" s="51">
        <f t="shared" si="1"/>
        <v>3545893</v>
      </c>
      <c r="E52" s="51">
        <f t="shared" si="1"/>
        <v>121237</v>
      </c>
      <c r="F52" s="51">
        <f t="shared" si="1"/>
        <v>1998191.5199999996</v>
      </c>
      <c r="G52" s="51">
        <f t="shared" si="1"/>
        <v>3978592.7000000011</v>
      </c>
      <c r="H52" s="51"/>
      <c r="I52" s="51">
        <f>I16+I18-I50</f>
        <v>3380357.7309999969</v>
      </c>
      <c r="J52" s="51">
        <f>J16+J18-J50</f>
        <v>-436602.76</v>
      </c>
      <c r="K52" s="51">
        <f>K16+K18-K50</f>
        <v>2989514.9709999971</v>
      </c>
    </row>
    <row r="53" spans="1:11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4" spans="1:11" hidden="1" x14ac:dyDescent="0.25">
      <c r="A54" s="55" t="s">
        <v>3453</v>
      </c>
      <c r="B54" s="51">
        <v>-52436</v>
      </c>
      <c r="C54" s="51">
        <v>24114</v>
      </c>
      <c r="D54" s="51">
        <v>180409</v>
      </c>
      <c r="E54" s="51">
        <v>0</v>
      </c>
      <c r="F54" s="51">
        <v>0</v>
      </c>
      <c r="G54" s="51">
        <v>0</v>
      </c>
      <c r="H54" s="51"/>
      <c r="I54" s="51">
        <v>0</v>
      </c>
      <c r="J54" s="51">
        <v>0</v>
      </c>
      <c r="K54" s="51">
        <v>0</v>
      </c>
    </row>
    <row r="55" spans="1:11" hidden="1" x14ac:dyDescent="0.25">
      <c r="B55" s="51"/>
      <c r="C55" s="51"/>
      <c r="D55" s="51"/>
      <c r="E55" s="51"/>
      <c r="F55" s="51"/>
      <c r="G55" s="51"/>
      <c r="H55" s="51"/>
    </row>
    <row r="56" spans="1:11" hidden="1" x14ac:dyDescent="0.25">
      <c r="A56" s="33" t="s">
        <v>3454</v>
      </c>
      <c r="B56" s="51">
        <f>+B14+B16+B18-B50+B54</f>
        <v>7003544</v>
      </c>
      <c r="C56" s="51">
        <f t="shared" ref="C56:G56" si="2">+C14+C16+C18-C50+C54</f>
        <v>9440199</v>
      </c>
      <c r="D56" s="51">
        <f t="shared" si="2"/>
        <v>13171161</v>
      </c>
      <c r="E56" s="51">
        <f t="shared" si="2"/>
        <v>13306581</v>
      </c>
      <c r="F56" s="51">
        <f t="shared" si="2"/>
        <v>1998191.5199999996</v>
      </c>
      <c r="G56" s="51">
        <f t="shared" si="2"/>
        <v>17163936.700000003</v>
      </c>
      <c r="H56" s="51"/>
      <c r="I56" s="51">
        <f>+I14+I16+I18-I50+I54</f>
        <v>3380357.7309999969</v>
      </c>
      <c r="J56" s="51">
        <f>+J14+J16+J18-J50+J54</f>
        <v>-436602.76</v>
      </c>
      <c r="K56" s="51">
        <f>+K14+K16+K18-K50+K54</f>
        <v>20153451.671</v>
      </c>
    </row>
    <row r="57" spans="1:11" hidden="1" x14ac:dyDescent="0.25">
      <c r="B57" s="51"/>
      <c r="C57" s="51"/>
      <c r="D57" s="51"/>
      <c r="E57" s="51"/>
      <c r="F57" s="51"/>
      <c r="G57" s="51"/>
      <c r="H57" s="51"/>
      <c r="I57" s="51"/>
      <c r="J57" s="51"/>
    </row>
    <row r="58" spans="1:11" x14ac:dyDescent="0.25">
      <c r="B58" s="51"/>
      <c r="C58" s="51"/>
      <c r="D58" s="51"/>
      <c r="E58" s="51"/>
      <c r="F58" s="51"/>
      <c r="G58" s="51"/>
      <c r="H58" s="51"/>
      <c r="I58" s="51"/>
      <c r="J58" s="51"/>
    </row>
    <row r="59" spans="1:11" x14ac:dyDescent="0.25">
      <c r="A59" s="49" t="s">
        <v>3455</v>
      </c>
      <c r="B59" s="51"/>
      <c r="C59" s="51"/>
      <c r="D59" s="51"/>
      <c r="E59" s="51"/>
      <c r="F59" s="51"/>
      <c r="G59" s="51"/>
      <c r="H59" s="51"/>
    </row>
    <row r="60" spans="1:11" x14ac:dyDescent="0.25">
      <c r="A60" s="49"/>
      <c r="B60" s="51"/>
      <c r="C60" s="51"/>
      <c r="D60" s="51"/>
      <c r="E60" s="51"/>
      <c r="F60" s="51"/>
      <c r="G60" s="51"/>
      <c r="H60" s="51"/>
    </row>
    <row r="61" spans="1:11" hidden="1" x14ac:dyDescent="0.25">
      <c r="A61" s="33" t="s">
        <v>3420</v>
      </c>
      <c r="B61" s="51">
        <v>1560463</v>
      </c>
      <c r="C61" s="51">
        <v>1490427</v>
      </c>
      <c r="D61" s="51">
        <v>1876942</v>
      </c>
      <c r="E61" s="51">
        <v>1853502</v>
      </c>
      <c r="F61" s="51">
        <v>0</v>
      </c>
      <c r="G61" s="51">
        <v>1853502</v>
      </c>
      <c r="H61" s="51"/>
      <c r="I61" s="51">
        <v>0</v>
      </c>
      <c r="J61" s="51">
        <v>0</v>
      </c>
      <c r="K61" s="51">
        <f>G71</f>
        <v>1816910</v>
      </c>
    </row>
    <row r="62" spans="1:11" hidden="1" x14ac:dyDescent="0.25">
      <c r="B62" s="51"/>
      <c r="C62" s="51"/>
      <c r="D62" s="51"/>
      <c r="E62" s="51"/>
      <c r="F62" s="51"/>
      <c r="G62" s="51"/>
      <c r="H62" s="51"/>
    </row>
    <row r="63" spans="1:11" x14ac:dyDescent="0.25">
      <c r="A63" s="33" t="s">
        <v>3421</v>
      </c>
      <c r="B63" s="51">
        <f>('Aviation Fund'!C34)-B64</f>
        <v>420123</v>
      </c>
      <c r="C63" s="51">
        <f>('Aviation Fund'!D34)-C64</f>
        <v>358297</v>
      </c>
      <c r="D63" s="51">
        <f>('Aviation Fund'!E34)-D64</f>
        <v>343484</v>
      </c>
      <c r="E63" s="51">
        <f>('Aviation Fund'!F34)-E64</f>
        <v>288055</v>
      </c>
      <c r="F63" s="51">
        <f>('Aviation Fund'!G34)-F64</f>
        <v>246484.65999999997</v>
      </c>
      <c r="G63" s="51">
        <f>('Aviation Fund'!H34)-G64</f>
        <v>313710</v>
      </c>
      <c r="H63" s="51"/>
      <c r="I63" s="51">
        <f>('Aviation Fund'!J34)-I64</f>
        <v>293800</v>
      </c>
      <c r="J63" s="51">
        <f>('Aviation Fund'!K34)-J64</f>
        <v>0</v>
      </c>
      <c r="K63" s="51">
        <f>('Aviation Fund'!L34)-K64</f>
        <v>293800</v>
      </c>
    </row>
    <row r="64" spans="1:11" x14ac:dyDescent="0.25">
      <c r="A64" s="33" t="s">
        <v>3456</v>
      </c>
      <c r="B64" s="51">
        <f>'Aviation Fund'!C28+'Aviation Fund'!C29</f>
        <v>0</v>
      </c>
      <c r="C64" s="51">
        <f>'Aviation Fund'!D28+'Aviation Fund'!D29</f>
        <v>357424</v>
      </c>
      <c r="D64" s="51">
        <f>'Aviation Fund'!E28+'Aviation Fund'!E29</f>
        <v>0</v>
      </c>
      <c r="E64" s="51">
        <f>'Aviation Fund'!F28+'Aviation Fund'!F29</f>
        <v>92299</v>
      </c>
      <c r="F64" s="51">
        <f>'Aviation Fund'!G28+'Aviation Fund'!G29</f>
        <v>0</v>
      </c>
      <c r="G64" s="51">
        <f>'Aviation Fund'!H28+'Aviation Fund'!H29</f>
        <v>0</v>
      </c>
      <c r="H64" s="51"/>
      <c r="I64" s="51">
        <f>'Aviation Fund'!J28+'Aviation Fund'!J29</f>
        <v>50000</v>
      </c>
      <c r="J64" s="51">
        <f>'Aviation Fund'!K28+'Aviation Fund'!K29</f>
        <v>0</v>
      </c>
      <c r="K64" s="51">
        <f>'Aviation Fund'!L28+'Aviation Fund'!L29</f>
        <v>50000</v>
      </c>
    </row>
    <row r="65" spans="1:11" x14ac:dyDescent="0.25">
      <c r="A65" s="33" t="s">
        <v>3457</v>
      </c>
      <c r="B65" s="51">
        <f>'Aviation Fund'!C138</f>
        <v>490805</v>
      </c>
      <c r="C65" s="51">
        <f>'Aviation Fund'!D138</f>
        <v>268959</v>
      </c>
      <c r="D65" s="51">
        <f>'Aviation Fund'!E138</f>
        <v>306113</v>
      </c>
      <c r="E65" s="51">
        <f>'Aviation Fund'!F138</f>
        <v>380357</v>
      </c>
      <c r="F65" s="51">
        <f>'Aviation Fund'!G138</f>
        <v>307936.74</v>
      </c>
      <c r="G65" s="51">
        <f>'Aviation Fund'!H138</f>
        <v>350302</v>
      </c>
      <c r="H65" s="51"/>
      <c r="I65" s="51">
        <f>'Aviation Fund'!J138</f>
        <v>323514.07</v>
      </c>
      <c r="J65" s="51">
        <f>'Aviation Fund'!K138</f>
        <v>0</v>
      </c>
      <c r="K65" s="51">
        <f>'Aviation Fund'!L138</f>
        <v>323514.07</v>
      </c>
    </row>
    <row r="66" spans="1:11" x14ac:dyDescent="0.25">
      <c r="B66" s="51"/>
      <c r="C66" s="51"/>
      <c r="D66" s="51"/>
      <c r="E66" s="51"/>
      <c r="F66" s="51"/>
      <c r="G66" s="51"/>
      <c r="H66" s="51"/>
    </row>
    <row r="67" spans="1:11" x14ac:dyDescent="0.25">
      <c r="A67" s="33" t="s">
        <v>3452</v>
      </c>
      <c r="B67" s="51">
        <f t="shared" ref="B67:G67" si="3">B63+B64-B65</f>
        <v>-70682</v>
      </c>
      <c r="C67" s="51">
        <f t="shared" si="3"/>
        <v>446762</v>
      </c>
      <c r="D67" s="51">
        <f t="shared" si="3"/>
        <v>37371</v>
      </c>
      <c r="E67" s="51">
        <f t="shared" si="3"/>
        <v>-3</v>
      </c>
      <c r="F67" s="51">
        <f t="shared" si="3"/>
        <v>-61452.080000000016</v>
      </c>
      <c r="G67" s="51">
        <f t="shared" si="3"/>
        <v>-36592</v>
      </c>
      <c r="H67" s="51"/>
      <c r="I67" s="51">
        <f>I63+I64-I65</f>
        <v>20285.929999999993</v>
      </c>
      <c r="J67" s="51">
        <f>J63+J64-J65</f>
        <v>0</v>
      </c>
      <c r="K67" s="51">
        <f>K63+K64-K65</f>
        <v>20285.929999999993</v>
      </c>
    </row>
    <row r="68" spans="1:11" hidden="1" x14ac:dyDescent="0.25">
      <c r="B68" s="51"/>
      <c r="C68" s="51"/>
      <c r="D68" s="51"/>
      <c r="E68" s="51"/>
      <c r="F68" s="51"/>
      <c r="G68" s="51"/>
      <c r="H68" s="51"/>
      <c r="I68" s="51"/>
      <c r="J68" s="51"/>
    </row>
    <row r="69" spans="1:11" hidden="1" x14ac:dyDescent="0.25">
      <c r="A69" s="55" t="s">
        <v>3453</v>
      </c>
      <c r="B69" s="51">
        <v>646</v>
      </c>
      <c r="C69" s="51">
        <v>-60247</v>
      </c>
      <c r="D69" s="51">
        <v>-60811</v>
      </c>
      <c r="E69" s="51">
        <v>0</v>
      </c>
      <c r="F69" s="51">
        <v>0</v>
      </c>
      <c r="G69" s="51">
        <v>0</v>
      </c>
      <c r="H69" s="51"/>
      <c r="I69" s="51">
        <v>0</v>
      </c>
      <c r="J69" s="51">
        <v>0</v>
      </c>
      <c r="K69" s="52">
        <f>I69+J69</f>
        <v>0</v>
      </c>
    </row>
    <row r="70" spans="1:11" hidden="1" x14ac:dyDescent="0.25">
      <c r="B70" s="51"/>
      <c r="C70" s="51"/>
      <c r="D70" s="51"/>
      <c r="E70" s="51"/>
      <c r="F70" s="51"/>
      <c r="G70" s="51"/>
      <c r="H70" s="51"/>
    </row>
    <row r="71" spans="1:11" hidden="1" x14ac:dyDescent="0.25">
      <c r="A71" s="33" t="s">
        <v>3454</v>
      </c>
      <c r="B71" s="51">
        <f t="shared" ref="B71:G71" si="4">+B61+B63+B64-B65+B69</f>
        <v>1490427</v>
      </c>
      <c r="C71" s="51">
        <f t="shared" si="4"/>
        <v>1876942</v>
      </c>
      <c r="D71" s="51">
        <f t="shared" si="4"/>
        <v>1853502</v>
      </c>
      <c r="E71" s="51">
        <f t="shared" si="4"/>
        <v>1853499</v>
      </c>
      <c r="F71" s="51">
        <f t="shared" si="4"/>
        <v>-61452.080000000016</v>
      </c>
      <c r="G71" s="51">
        <f t="shared" si="4"/>
        <v>1816910</v>
      </c>
      <c r="H71" s="51"/>
      <c r="I71" s="51">
        <f>+I61+I63+I64-I65+I69</f>
        <v>20285.929999999993</v>
      </c>
      <c r="J71" s="51">
        <f>+J61+J63+J64-J65+J69</f>
        <v>0</v>
      </c>
      <c r="K71" s="52">
        <f>I71+J71</f>
        <v>20285.929999999993</v>
      </c>
    </row>
    <row r="72" spans="1:11" x14ac:dyDescent="0.25">
      <c r="B72" s="51"/>
      <c r="C72" s="51"/>
      <c r="D72" s="51"/>
      <c r="E72" s="51"/>
      <c r="F72" s="51"/>
      <c r="G72" s="51"/>
      <c r="H72" s="51"/>
    </row>
    <row r="73" spans="1:11" x14ac:dyDescent="0.25">
      <c r="B73" s="51"/>
      <c r="C73" s="51"/>
      <c r="D73" s="51"/>
      <c r="E73" s="51"/>
      <c r="F73" s="51"/>
      <c r="G73" s="51"/>
      <c r="H73" s="51"/>
    </row>
    <row r="74" spans="1:11" x14ac:dyDescent="0.25">
      <c r="A74" s="49" t="s">
        <v>3458</v>
      </c>
      <c r="B74" s="51"/>
      <c r="C74" s="51"/>
      <c r="D74" s="51"/>
      <c r="E74" s="51"/>
      <c r="F74" s="51"/>
      <c r="G74" s="51"/>
      <c r="H74" s="51"/>
    </row>
    <row r="75" spans="1:11" x14ac:dyDescent="0.25">
      <c r="A75" s="49"/>
      <c r="B75" s="51"/>
      <c r="C75" s="51"/>
      <c r="D75" s="51"/>
      <c r="E75" s="51"/>
      <c r="F75" s="51"/>
      <c r="G75" s="51"/>
      <c r="H75" s="51"/>
    </row>
    <row r="76" spans="1:11" hidden="1" x14ac:dyDescent="0.25">
      <c r="A76" s="39" t="s">
        <v>3420</v>
      </c>
      <c r="B76" s="51">
        <v>2184533</v>
      </c>
      <c r="C76" s="51">
        <v>2338123</v>
      </c>
      <c r="D76" s="51">
        <v>2302162</v>
      </c>
      <c r="E76" s="51">
        <v>2473896</v>
      </c>
      <c r="F76" s="51">
        <v>0</v>
      </c>
      <c r="G76" s="48">
        <v>2473896</v>
      </c>
      <c r="H76" s="51"/>
      <c r="I76" s="51">
        <v>0</v>
      </c>
      <c r="J76" s="51">
        <v>0</v>
      </c>
      <c r="K76" s="52">
        <f>G99</f>
        <v>2139102.73</v>
      </c>
    </row>
    <row r="77" spans="1:11" hidden="1" x14ac:dyDescent="0.25">
      <c r="B77" s="51"/>
      <c r="C77" s="51"/>
      <c r="D77" s="51"/>
      <c r="E77" s="51"/>
      <c r="F77" s="51"/>
      <c r="G77" s="51"/>
      <c r="H77" s="51"/>
    </row>
    <row r="78" spans="1:11" x14ac:dyDescent="0.25">
      <c r="A78" s="55" t="s">
        <v>3421</v>
      </c>
      <c r="B78" s="51">
        <f>('Golf Course Revenue'!C32+'Golf Course Revenue'!C45)-B83</f>
        <v>765993</v>
      </c>
      <c r="C78" s="51">
        <f>('Golf Course Revenue'!D32+'Golf Course Revenue'!D45)-C83</f>
        <v>519485</v>
      </c>
      <c r="D78" s="51">
        <f>('Golf Course Revenue'!E32+'Golf Course Revenue'!E45)-D83</f>
        <v>687871</v>
      </c>
      <c r="E78" s="51">
        <f>('Golf Course Revenue'!F32+'Golf Course Revenue'!F45)-E83</f>
        <v>622700</v>
      </c>
      <c r="F78" s="51">
        <f>('Golf Course Revenue'!G32+'Golf Course Revenue'!G45)-F83</f>
        <v>744160.94000000006</v>
      </c>
      <c r="G78" s="51">
        <f>('Golf Course Revenue'!H32+'Golf Course Revenue'!H45)-G83</f>
        <v>889935</v>
      </c>
      <c r="H78" s="51"/>
      <c r="I78" s="51">
        <f>('Golf Course Revenue'!J32+'Golf Course Revenue'!J45)-I83</f>
        <v>935403</v>
      </c>
      <c r="J78" s="51">
        <f>('Golf Course Revenue'!K32+'Golf Course Revenue'!K45)-J83</f>
        <v>0</v>
      </c>
      <c r="K78" s="51">
        <f>('Golf Course Revenue'!L32+'Golf Course Revenue'!L45)-K83</f>
        <v>935403</v>
      </c>
    </row>
    <row r="79" spans="1:11" x14ac:dyDescent="0.25">
      <c r="A79" s="55"/>
      <c r="B79" s="51"/>
      <c r="C79" s="51"/>
      <c r="D79" s="51"/>
      <c r="E79" s="51"/>
      <c r="F79" s="51"/>
      <c r="G79" s="51"/>
      <c r="H79" s="51"/>
    </row>
    <row r="80" spans="1:11" x14ac:dyDescent="0.25">
      <c r="A80" s="33" t="s">
        <v>3459</v>
      </c>
      <c r="B80" s="51">
        <f t="shared" ref="B80:G80" si="5">B78</f>
        <v>765993</v>
      </c>
      <c r="C80" s="51">
        <f t="shared" si="5"/>
        <v>519485</v>
      </c>
      <c r="D80" s="51">
        <f t="shared" si="5"/>
        <v>687871</v>
      </c>
      <c r="E80" s="51">
        <f t="shared" si="5"/>
        <v>622700</v>
      </c>
      <c r="F80" s="51">
        <f t="shared" si="5"/>
        <v>744160.94000000006</v>
      </c>
      <c r="G80" s="51">
        <f t="shared" si="5"/>
        <v>889935</v>
      </c>
      <c r="H80" s="51"/>
      <c r="I80" s="51">
        <f>I78</f>
        <v>935403</v>
      </c>
      <c r="J80" s="51">
        <f>J78</f>
        <v>0</v>
      </c>
      <c r="K80" s="51">
        <f>K78</f>
        <v>935403</v>
      </c>
    </row>
    <row r="81" spans="1:11" hidden="1" x14ac:dyDescent="0.25">
      <c r="A81" s="33" t="s">
        <v>3460</v>
      </c>
      <c r="B81" s="51">
        <v>0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/>
      <c r="I81" s="51">
        <v>0</v>
      </c>
      <c r="J81" s="51">
        <v>0</v>
      </c>
      <c r="K81" s="51">
        <f>I81+J81</f>
        <v>0</v>
      </c>
    </row>
    <row r="82" spans="1:11" x14ac:dyDescent="0.25">
      <c r="A82" s="55"/>
      <c r="B82" s="51"/>
      <c r="C82" s="51"/>
      <c r="D82" s="51"/>
      <c r="E82" s="51"/>
      <c r="F82" s="51"/>
      <c r="G82" s="51"/>
      <c r="H82" s="51"/>
    </row>
    <row r="83" spans="1:11" x14ac:dyDescent="0.25">
      <c r="A83" s="55" t="s">
        <v>3461</v>
      </c>
      <c r="B83" s="51">
        <f>'Golf Course Revenue'!C26</f>
        <v>438694</v>
      </c>
      <c r="C83" s="51">
        <f>'Golf Course Revenue'!D26</f>
        <v>800000</v>
      </c>
      <c r="D83" s="51">
        <f>'Golf Course Revenue'!E26</f>
        <v>800000</v>
      </c>
      <c r="E83" s="51">
        <f>'Golf Course Revenue'!F26</f>
        <v>970519</v>
      </c>
      <c r="F83" s="51">
        <f>'Golf Course Revenue'!G26</f>
        <v>0</v>
      </c>
      <c r="G83" s="51">
        <f>'Golf Course Revenue'!H26</f>
        <v>0</v>
      </c>
      <c r="H83" s="51"/>
      <c r="I83" s="51">
        <f>'Golf Course Revenue'!J26</f>
        <v>250000</v>
      </c>
      <c r="J83" s="51">
        <f>'Golf Course Revenue'!K26</f>
        <v>0</v>
      </c>
      <c r="K83" s="51">
        <f>'Golf Course Revenue'!L26</f>
        <v>250000</v>
      </c>
    </row>
    <row r="84" spans="1:11" x14ac:dyDescent="0.25">
      <c r="B84" s="51"/>
      <c r="C84" s="51"/>
      <c r="D84" s="51"/>
      <c r="E84" s="51"/>
      <c r="F84" s="51"/>
      <c r="G84" s="51"/>
      <c r="H84" s="51"/>
    </row>
    <row r="85" spans="1:11" x14ac:dyDescent="0.25">
      <c r="A85" s="55" t="s">
        <v>3423</v>
      </c>
      <c r="B85" s="51"/>
      <c r="C85" s="51"/>
      <c r="D85" s="51"/>
      <c r="E85" s="51"/>
      <c r="F85" s="51"/>
      <c r="G85" s="51"/>
      <c r="H85" s="51"/>
    </row>
    <row r="86" spans="1:11" x14ac:dyDescent="0.25">
      <c r="B86" s="51"/>
      <c r="C86" s="51"/>
      <c r="D86" s="51"/>
      <c r="E86" s="51"/>
      <c r="F86" s="51"/>
      <c r="G86" s="51"/>
      <c r="H86" s="51"/>
    </row>
    <row r="87" spans="1:11" x14ac:dyDescent="0.25">
      <c r="A87" s="33" t="s">
        <v>3462</v>
      </c>
      <c r="B87" s="51">
        <f>'LVGC ProShop'!C117</f>
        <v>415917</v>
      </c>
      <c r="C87" s="51">
        <f>'LVGC ProShop'!D117</f>
        <v>451209</v>
      </c>
      <c r="D87" s="51">
        <f>'LVGC ProShop'!E117</f>
        <v>588166</v>
      </c>
      <c r="E87" s="51">
        <f>'LVGC ProShop'!F117</f>
        <v>679274</v>
      </c>
      <c r="F87" s="51">
        <f>'LVGC ProShop'!G117</f>
        <v>519175.22000000003</v>
      </c>
      <c r="G87" s="51">
        <f>'LVGC ProShop'!H117</f>
        <v>561374</v>
      </c>
      <c r="H87" s="51"/>
      <c r="I87" s="51">
        <f>'LVGC ProShop'!J117</f>
        <v>674743.76399999997</v>
      </c>
      <c r="J87" s="51">
        <f>'LVGC ProShop'!K117</f>
        <v>0</v>
      </c>
      <c r="K87" s="51">
        <f>'LVGC ProShop'!L117</f>
        <v>674743.76399999997</v>
      </c>
    </row>
    <row r="88" spans="1:11" x14ac:dyDescent="0.25">
      <c r="A88" s="33" t="s">
        <v>3463</v>
      </c>
      <c r="B88" s="51">
        <f>'LVGC Maintenance'!C108</f>
        <v>405573</v>
      </c>
      <c r="C88" s="51">
        <f>'LVGC Maintenance'!D108</f>
        <v>677356</v>
      </c>
      <c r="D88" s="51">
        <f>'LVGC Maintenance'!E108</f>
        <v>631330</v>
      </c>
      <c r="E88" s="51">
        <f>'LVGC Maintenance'!F108</f>
        <v>913947</v>
      </c>
      <c r="F88" s="51">
        <f>'LVGC Maintenance'!G108</f>
        <v>576512.74</v>
      </c>
      <c r="G88" s="51">
        <f>'LVGC Maintenance'!H108</f>
        <v>663354.27</v>
      </c>
      <c r="H88" s="51"/>
      <c r="I88" s="51">
        <f>'LVGC Maintenance'!J108</f>
        <v>736011.49799999991</v>
      </c>
      <c r="J88" s="51">
        <f>'LVGC Maintenance'!K108</f>
        <v>75000</v>
      </c>
      <c r="K88" s="51">
        <f>'LVGC Maintenance'!L108</f>
        <v>811011.49799999991</v>
      </c>
    </row>
    <row r="89" spans="1:11" hidden="1" x14ac:dyDescent="0.25">
      <c r="A89" s="33" t="s">
        <v>3464</v>
      </c>
      <c r="B89" s="51">
        <v>0</v>
      </c>
      <c r="C89" s="51">
        <v>0</v>
      </c>
      <c r="D89" s="51">
        <v>0</v>
      </c>
      <c r="E89" s="51">
        <v>0</v>
      </c>
      <c r="F89" s="51">
        <v>0</v>
      </c>
      <c r="G89" s="58">
        <v>0</v>
      </c>
      <c r="H89" s="51"/>
      <c r="I89" s="51">
        <v>0</v>
      </c>
      <c r="J89" s="51">
        <v>0</v>
      </c>
      <c r="K89" s="52">
        <f>I89+J89</f>
        <v>0</v>
      </c>
    </row>
    <row r="90" spans="1:11" x14ac:dyDescent="0.25">
      <c r="A90" s="33" t="s">
        <v>3465</v>
      </c>
      <c r="B90" s="51">
        <v>0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/>
      <c r="I90" s="51">
        <v>0</v>
      </c>
      <c r="J90" s="51">
        <v>0</v>
      </c>
      <c r="K90" s="52">
        <f>I90+J90</f>
        <v>0</v>
      </c>
    </row>
    <row r="91" spans="1:11" x14ac:dyDescent="0.25">
      <c r="A91" s="33" t="s">
        <v>3466</v>
      </c>
      <c r="B91" s="51">
        <v>0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/>
      <c r="I91" s="51">
        <v>0</v>
      </c>
      <c r="J91" s="51">
        <v>0</v>
      </c>
      <c r="K91" s="52">
        <f>I91+J91</f>
        <v>0</v>
      </c>
    </row>
    <row r="92" spans="1:11" x14ac:dyDescent="0.25">
      <c r="B92" s="51"/>
      <c r="C92" s="51"/>
      <c r="D92" s="51"/>
      <c r="E92" s="51"/>
      <c r="F92" s="51"/>
      <c r="G92" s="51"/>
      <c r="H92" s="51"/>
    </row>
    <row r="93" spans="1:11" x14ac:dyDescent="0.25">
      <c r="A93" s="33" t="s">
        <v>3467</v>
      </c>
      <c r="B93" s="51">
        <f t="shared" ref="B93:G93" si="6">SUM(B87:B92)</f>
        <v>821490</v>
      </c>
      <c r="C93" s="51">
        <f t="shared" si="6"/>
        <v>1128565</v>
      </c>
      <c r="D93" s="51">
        <f t="shared" si="6"/>
        <v>1219496</v>
      </c>
      <c r="E93" s="51">
        <f t="shared" si="6"/>
        <v>1593221</v>
      </c>
      <c r="F93" s="51">
        <f t="shared" si="6"/>
        <v>1095687.96</v>
      </c>
      <c r="G93" s="51">
        <f t="shared" si="6"/>
        <v>1224728.27</v>
      </c>
      <c r="H93" s="51"/>
      <c r="I93" s="51">
        <f>SUM(I87:I92)</f>
        <v>1410755.2619999999</v>
      </c>
      <c r="J93" s="51">
        <f>SUM(J87:J92)</f>
        <v>75000</v>
      </c>
      <c r="K93" s="51">
        <f>SUM(K87:K92)</f>
        <v>1485755.2619999999</v>
      </c>
    </row>
    <row r="94" spans="1:11" x14ac:dyDescent="0.25">
      <c r="B94" s="51"/>
      <c r="C94" s="51"/>
      <c r="D94" s="51"/>
      <c r="E94" s="51"/>
      <c r="F94" s="51"/>
      <c r="G94" s="51"/>
      <c r="H94" s="51"/>
    </row>
    <row r="95" spans="1:11" x14ac:dyDescent="0.25">
      <c r="A95" s="33" t="s">
        <v>3452</v>
      </c>
      <c r="B95" s="51">
        <f t="shared" ref="B95:G95" si="7">+B78+B83+B81-B93</f>
        <v>383197</v>
      </c>
      <c r="C95" s="51">
        <f t="shared" si="7"/>
        <v>190920</v>
      </c>
      <c r="D95" s="51">
        <f t="shared" si="7"/>
        <v>268375</v>
      </c>
      <c r="E95" s="51">
        <f t="shared" si="7"/>
        <v>-2</v>
      </c>
      <c r="F95" s="51">
        <f t="shared" si="7"/>
        <v>-351527.0199999999</v>
      </c>
      <c r="G95" s="51">
        <f t="shared" si="7"/>
        <v>-334793.27</v>
      </c>
      <c r="H95" s="51"/>
      <c r="I95" s="51">
        <f>+I78+I83+I81-I93</f>
        <v>-225352.26199999987</v>
      </c>
      <c r="J95" s="51">
        <f>+J78+J83+J81-J93</f>
        <v>-75000</v>
      </c>
      <c r="K95" s="51">
        <f>+K78+K83+K81-K93</f>
        <v>-300352.26199999987</v>
      </c>
    </row>
    <row r="96" spans="1:11" x14ac:dyDescent="0.25">
      <c r="B96" s="51"/>
      <c r="C96" s="51"/>
      <c r="D96" s="51"/>
      <c r="E96" s="51"/>
      <c r="F96" s="51"/>
      <c r="G96" s="58"/>
      <c r="H96" s="51"/>
      <c r="I96" s="51"/>
      <c r="J96" s="51"/>
    </row>
    <row r="97" spans="1:11" hidden="1" x14ac:dyDescent="0.25">
      <c r="A97" s="55" t="s">
        <v>3453</v>
      </c>
      <c r="B97" s="51">
        <v>-229607</v>
      </c>
      <c r="C97" s="51">
        <v>-226881</v>
      </c>
      <c r="D97" s="51">
        <v>-96641</v>
      </c>
      <c r="E97" s="51">
        <v>0</v>
      </c>
      <c r="F97" s="51">
        <v>0</v>
      </c>
      <c r="G97" s="51"/>
      <c r="H97" s="51"/>
      <c r="I97" s="51">
        <v>0</v>
      </c>
      <c r="J97" s="51">
        <v>0</v>
      </c>
      <c r="K97" s="52">
        <f>I97+J97</f>
        <v>0</v>
      </c>
    </row>
    <row r="98" spans="1:11" hidden="1" x14ac:dyDescent="0.25">
      <c r="B98" s="51"/>
      <c r="C98" s="51"/>
      <c r="D98" s="51"/>
      <c r="E98" s="51"/>
      <c r="F98" s="51"/>
      <c r="G98" s="51"/>
      <c r="H98" s="51"/>
    </row>
    <row r="99" spans="1:11" hidden="1" x14ac:dyDescent="0.25">
      <c r="A99" s="33" t="s">
        <v>3454</v>
      </c>
      <c r="B99" s="51">
        <f t="shared" ref="B99:G99" si="8">+B76+B78-B93+B83+B97+B81</f>
        <v>2338123</v>
      </c>
      <c r="C99" s="51">
        <f t="shared" si="8"/>
        <v>2302162</v>
      </c>
      <c r="D99" s="51">
        <f t="shared" si="8"/>
        <v>2473896</v>
      </c>
      <c r="E99" s="51">
        <f t="shared" si="8"/>
        <v>2473894</v>
      </c>
      <c r="F99" s="51">
        <f t="shared" si="8"/>
        <v>-351527.0199999999</v>
      </c>
      <c r="G99" s="51">
        <f t="shared" si="8"/>
        <v>2139102.73</v>
      </c>
      <c r="H99" s="51"/>
      <c r="I99" s="51">
        <f>+I76+I78-I93+I83+I97+I81</f>
        <v>-225352.26199999987</v>
      </c>
      <c r="J99" s="51">
        <f>+J76+J78-J93+J83+J97+J81</f>
        <v>-75000</v>
      </c>
      <c r="K99" s="51">
        <f>+K76+K78-K93+K83+K97+K81</f>
        <v>1838750.4680000001</v>
      </c>
    </row>
    <row r="100" spans="1:11" hidden="1" x14ac:dyDescent="0.25">
      <c r="B100" s="51"/>
      <c r="C100" s="51"/>
      <c r="D100" s="51"/>
      <c r="E100" s="51"/>
      <c r="F100" s="51"/>
      <c r="G100" s="51"/>
      <c r="H100" s="51"/>
    </row>
    <row r="101" spans="1:11" x14ac:dyDescent="0.25">
      <c r="B101" s="51"/>
      <c r="C101" s="51"/>
      <c r="D101" s="51"/>
      <c r="E101" s="51"/>
      <c r="F101" s="51"/>
      <c r="G101" s="51"/>
      <c r="H101" s="51"/>
    </row>
    <row r="102" spans="1:11" x14ac:dyDescent="0.25">
      <c r="A102" s="49" t="s">
        <v>3468</v>
      </c>
      <c r="B102" s="51"/>
      <c r="C102" s="51"/>
      <c r="D102" s="51"/>
      <c r="E102" s="51"/>
      <c r="F102" s="51"/>
      <c r="G102" s="51"/>
      <c r="H102" s="51"/>
    </row>
    <row r="103" spans="1:11" x14ac:dyDescent="0.25">
      <c r="A103" s="49"/>
      <c r="B103" s="51"/>
      <c r="C103" s="51"/>
      <c r="D103" s="51"/>
      <c r="E103" s="51"/>
      <c r="F103" s="51"/>
      <c r="G103" s="51"/>
      <c r="H103" s="51"/>
    </row>
    <row r="104" spans="1:11" hidden="1" x14ac:dyDescent="0.25">
      <c r="A104" s="39" t="s">
        <v>3420</v>
      </c>
      <c r="B104" s="51">
        <v>4979864</v>
      </c>
      <c r="C104" s="51">
        <v>13669661</v>
      </c>
      <c r="D104" s="51">
        <v>14520084</v>
      </c>
      <c r="E104" s="51">
        <v>15882057</v>
      </c>
      <c r="F104" s="51">
        <v>0</v>
      </c>
      <c r="G104" s="51">
        <v>15882057</v>
      </c>
      <c r="H104" s="51"/>
      <c r="I104" s="51">
        <v>0</v>
      </c>
      <c r="J104" s="51">
        <v>0</v>
      </c>
      <c r="K104" s="52">
        <f>G138</f>
        <v>10120058.810000001</v>
      </c>
    </row>
    <row r="105" spans="1:11" hidden="1" x14ac:dyDescent="0.25">
      <c r="A105" s="39"/>
      <c r="B105" s="48"/>
      <c r="C105" s="48"/>
      <c r="D105" s="48"/>
      <c r="E105" s="48"/>
      <c r="F105" s="48"/>
      <c r="G105" s="48"/>
      <c r="H105" s="48"/>
    </row>
    <row r="106" spans="1:11" x14ac:dyDescent="0.25">
      <c r="A106" s="55" t="s">
        <v>3421</v>
      </c>
      <c r="B106" s="51">
        <f>'Utility Fund Revenue'!C96</f>
        <v>12993216</v>
      </c>
      <c r="C106" s="51">
        <f>'Utility Fund Revenue'!D96</f>
        <v>10707689</v>
      </c>
      <c r="D106" s="51">
        <f>'Utility Fund Revenue'!E96</f>
        <v>10653770</v>
      </c>
      <c r="E106" s="51">
        <f>'Utility Fund Revenue'!F96</f>
        <v>12628624</v>
      </c>
      <c r="F106" s="51">
        <f>'Utility Fund Revenue'!G96</f>
        <v>8507540.0399999991</v>
      </c>
      <c r="G106" s="51">
        <f>'Utility Fund Revenue'!H96</f>
        <v>9912552</v>
      </c>
      <c r="H106" s="51"/>
      <c r="I106" s="51">
        <f>'Utility Fund Revenue'!J96</f>
        <v>15708925</v>
      </c>
      <c r="J106" s="51">
        <f>'Utility Fund Revenue'!K96</f>
        <v>0</v>
      </c>
      <c r="K106" s="51">
        <f>'Utility Fund Revenue'!L96</f>
        <v>15708925</v>
      </c>
    </row>
    <row r="107" spans="1:11" x14ac:dyDescent="0.25">
      <c r="A107" s="39"/>
      <c r="B107" s="51"/>
      <c r="C107" s="51"/>
      <c r="D107" s="51"/>
      <c r="E107" s="51"/>
      <c r="F107" s="51"/>
      <c r="G107" s="58"/>
      <c r="H107" s="51"/>
    </row>
    <row r="108" spans="1:11" x14ac:dyDescent="0.25">
      <c r="A108" s="55" t="s">
        <v>3423</v>
      </c>
      <c r="B108" s="51"/>
      <c r="C108" s="51"/>
      <c r="D108" s="51"/>
      <c r="E108" s="51"/>
      <c r="F108" s="51"/>
      <c r="G108" s="51"/>
      <c r="H108" s="51"/>
    </row>
    <row r="109" spans="1:11" x14ac:dyDescent="0.25">
      <c r="B109" s="51"/>
      <c r="C109" s="51"/>
      <c r="D109" s="51"/>
      <c r="E109" s="51"/>
      <c r="F109" s="51"/>
      <c r="G109" s="51"/>
      <c r="H109" s="51"/>
    </row>
    <row r="110" spans="1:11" x14ac:dyDescent="0.25">
      <c r="A110" s="33" t="s">
        <v>3469</v>
      </c>
      <c r="B110" s="51">
        <f>'Utility Admin'!C104</f>
        <v>227773</v>
      </c>
      <c r="C110" s="51">
        <f>'Utility Admin'!D104</f>
        <v>510380</v>
      </c>
      <c r="D110" s="51">
        <f>'Utility Admin'!E104</f>
        <v>384445</v>
      </c>
      <c r="E110" s="51">
        <f>'Utility Admin'!F104</f>
        <v>467389</v>
      </c>
      <c r="F110" s="51">
        <f>'Utility Admin'!G104</f>
        <v>322875.94</v>
      </c>
      <c r="G110" s="51">
        <f>'Utility Admin'!H104</f>
        <v>446198</v>
      </c>
      <c r="H110" s="51"/>
      <c r="I110" s="51">
        <f>'Utility Admin'!J104</f>
        <v>470215.48600000003</v>
      </c>
      <c r="J110" s="51">
        <f>'Utility Admin'!K104</f>
        <v>0</v>
      </c>
      <c r="K110" s="51">
        <f>'Utility Admin'!L104</f>
        <v>470215.48600000003</v>
      </c>
    </row>
    <row r="111" spans="1:11" x14ac:dyDescent="0.25">
      <c r="A111" s="33" t="s">
        <v>3470</v>
      </c>
      <c r="B111" s="51">
        <f>'General Fund Transfer'!C12</f>
        <v>1600000</v>
      </c>
      <c r="C111" s="51">
        <f>'General Fund Transfer'!D12</f>
        <v>2059643</v>
      </c>
      <c r="D111" s="51">
        <f>'General Fund Transfer'!E12</f>
        <v>2059643</v>
      </c>
      <c r="E111" s="51">
        <f>'General Fund Transfer'!F12</f>
        <v>3643573</v>
      </c>
      <c r="F111" s="51">
        <f>'General Fund Transfer'!G12</f>
        <v>1544732.28</v>
      </c>
      <c r="G111" s="51">
        <f>'General Fund Transfer'!H12</f>
        <v>3643573</v>
      </c>
      <c r="H111" s="51"/>
      <c r="I111" s="51">
        <f>'General Fund Transfer'!J12</f>
        <v>3643573</v>
      </c>
      <c r="J111" s="51">
        <f>'General Fund Transfer'!K12</f>
        <v>0</v>
      </c>
      <c r="K111" s="51">
        <f>'General Fund Transfer'!L12</f>
        <v>3643573</v>
      </c>
    </row>
    <row r="112" spans="1:11" x14ac:dyDescent="0.25">
      <c r="A112" s="33" t="s">
        <v>3471</v>
      </c>
      <c r="B112" s="51">
        <v>0</v>
      </c>
      <c r="C112" s="51">
        <v>0</v>
      </c>
      <c r="D112" s="51">
        <v>0</v>
      </c>
      <c r="E112" s="51">
        <v>0</v>
      </c>
      <c r="F112" s="51">
        <v>0</v>
      </c>
      <c r="G112" s="56">
        <v>0</v>
      </c>
      <c r="H112" s="51"/>
      <c r="I112" s="51">
        <v>0</v>
      </c>
      <c r="J112" s="51">
        <v>0</v>
      </c>
      <c r="K112" s="52">
        <f>I112+J112</f>
        <v>0</v>
      </c>
    </row>
    <row r="113" spans="1:11" x14ac:dyDescent="0.25">
      <c r="A113" s="33" t="s">
        <v>3472</v>
      </c>
      <c r="B113" s="51">
        <f>'Utility Fund IT'!C89</f>
        <v>498181</v>
      </c>
      <c r="C113" s="51">
        <f>'Utility Fund IT'!D89</f>
        <v>48119</v>
      </c>
      <c r="D113" s="51">
        <f>'Utility Fund IT'!E89</f>
        <v>39341</v>
      </c>
      <c r="E113" s="51">
        <f>'Utility Fund IT'!F89</f>
        <v>83883</v>
      </c>
      <c r="F113" s="51">
        <f>'Utility Fund IT'!G89</f>
        <v>53134.479999999996</v>
      </c>
      <c r="G113" s="51">
        <f>'Utility Fund IT'!H89</f>
        <v>61248.05</v>
      </c>
      <c r="H113" s="51"/>
      <c r="I113" s="51">
        <f>'Utility Fund IT'!J89</f>
        <v>65292.854999999996</v>
      </c>
      <c r="J113" s="51">
        <f>'Utility Fund IT'!K89</f>
        <v>0</v>
      </c>
      <c r="K113" s="51">
        <f>'Utility Fund IT'!L89</f>
        <v>65292.854999999996</v>
      </c>
    </row>
    <row r="114" spans="1:11" x14ac:dyDescent="0.25">
      <c r="A114" s="33" t="s">
        <v>3473</v>
      </c>
      <c r="B114" s="51">
        <f>'Public Works Admin'!C104</f>
        <v>419313</v>
      </c>
      <c r="C114" s="51">
        <f>'Public Works Admin'!D104</f>
        <v>345251</v>
      </c>
      <c r="D114" s="51">
        <f>'Public Works Admin'!E104</f>
        <v>951780</v>
      </c>
      <c r="E114" s="51">
        <f>'Public Works Admin'!F104</f>
        <v>1388620</v>
      </c>
      <c r="F114" s="51">
        <f>'Public Works Admin'!G104</f>
        <v>807813.47</v>
      </c>
      <c r="G114" s="51">
        <f>'Public Works Admin'!H104</f>
        <v>876509.03</v>
      </c>
      <c r="H114" s="51"/>
      <c r="I114" s="51">
        <f>'Public Works Admin'!J104</f>
        <v>971969.21700000006</v>
      </c>
      <c r="J114" s="51">
        <f>'Public Works Admin'!K104</f>
        <v>0</v>
      </c>
      <c r="K114" s="51">
        <f>'Public Works Admin'!L104</f>
        <v>971969.21700000006</v>
      </c>
    </row>
    <row r="115" spans="1:11" x14ac:dyDescent="0.25">
      <c r="A115" s="33" t="s">
        <v>3474</v>
      </c>
      <c r="B115" s="51">
        <f>'Water Services'!C114</f>
        <v>1892876</v>
      </c>
      <c r="C115" s="51">
        <f>'Water Services'!D114</f>
        <v>1303099</v>
      </c>
      <c r="D115" s="51">
        <f>'Water Services'!E114</f>
        <v>1876300</v>
      </c>
      <c r="E115" s="51">
        <f>'Water Services'!F114</f>
        <v>1648416</v>
      </c>
      <c r="F115" s="51">
        <f>'Water Services'!G114</f>
        <v>1092576.08</v>
      </c>
      <c r="G115" s="51">
        <f>'Water Services'!H114</f>
        <v>1206722.76</v>
      </c>
      <c r="H115" s="51"/>
      <c r="I115" s="51">
        <f>'Water Services'!J114</f>
        <v>1207131.807</v>
      </c>
      <c r="J115" s="51">
        <f>'Water Services'!K114</f>
        <v>43900</v>
      </c>
      <c r="K115" s="51">
        <f>'Water Services'!L114</f>
        <v>1251031.807</v>
      </c>
    </row>
    <row r="116" spans="1:11" x14ac:dyDescent="0.25">
      <c r="A116" s="33" t="s">
        <v>3475</v>
      </c>
      <c r="B116" s="51">
        <f>'Water Plant 1'!C98</f>
        <v>449355</v>
      </c>
      <c r="C116" s="51">
        <f>'Water Plant 1'!D98</f>
        <v>363437</v>
      </c>
      <c r="D116" s="51">
        <f>'Water Plant 1'!E98</f>
        <v>376516</v>
      </c>
      <c r="E116" s="51">
        <f>'Water Plant 1'!F98</f>
        <v>738761</v>
      </c>
      <c r="F116" s="51">
        <f>'Water Plant 1'!G98</f>
        <v>1211900.1199999999</v>
      </c>
      <c r="G116" s="51">
        <f>'Water Plant 1'!H98</f>
        <v>1280094</v>
      </c>
      <c r="H116" s="51"/>
      <c r="I116" s="51">
        <f>'Water Plant 1'!J98</f>
        <v>793443.19200000004</v>
      </c>
      <c r="J116" s="51">
        <f>'Water Plant 1'!K98</f>
        <v>0</v>
      </c>
      <c r="K116" s="51">
        <f>'Water Plant 1'!L98</f>
        <v>793443.19200000004</v>
      </c>
    </row>
    <row r="117" spans="1:11" hidden="1" x14ac:dyDescent="0.25">
      <c r="A117" s="33" t="s">
        <v>3476</v>
      </c>
      <c r="B117" s="51">
        <v>0</v>
      </c>
      <c r="C117" s="51">
        <v>0</v>
      </c>
      <c r="D117" s="51">
        <v>0</v>
      </c>
      <c r="E117" s="51">
        <v>0</v>
      </c>
      <c r="F117" s="51">
        <v>0</v>
      </c>
      <c r="G117" s="56"/>
      <c r="H117" s="51"/>
      <c r="I117" s="51">
        <v>0</v>
      </c>
      <c r="J117" s="51">
        <v>0</v>
      </c>
    </row>
    <row r="118" spans="1:11" x14ac:dyDescent="0.25">
      <c r="A118" s="33" t="s">
        <v>3477</v>
      </c>
      <c r="B118" s="51">
        <f>'Water Plant 3'!C97</f>
        <v>450176</v>
      </c>
      <c r="C118" s="51">
        <f>'Water Plant 3'!D97</f>
        <v>492229</v>
      </c>
      <c r="D118" s="51">
        <f>'Water Plant 3'!E97</f>
        <v>1129256</v>
      </c>
      <c r="E118" s="51">
        <f>'Water Plant 3'!F97</f>
        <v>949881</v>
      </c>
      <c r="F118" s="51">
        <f>'Water Plant 3'!G97</f>
        <v>540076.46</v>
      </c>
      <c r="G118" s="51">
        <f>'Water Plant 3'!H97</f>
        <v>606710.35</v>
      </c>
      <c r="H118" s="51"/>
      <c r="I118" s="51">
        <f>'Water Plant 3'!J97</f>
        <v>3615175.5260000001</v>
      </c>
      <c r="J118" s="51">
        <f>'Water Plant 3'!K97</f>
        <v>300000</v>
      </c>
      <c r="K118" s="51">
        <f>'Water Plant 3'!L97</f>
        <v>3915175.5260000001</v>
      </c>
    </row>
    <row r="119" spans="1:11" x14ac:dyDescent="0.25">
      <c r="A119" s="33" t="s">
        <v>3478</v>
      </c>
      <c r="B119" s="51">
        <f>'Sewer Services'!C105</f>
        <v>1040016</v>
      </c>
      <c r="C119" s="51">
        <f>'Sewer Services'!D105</f>
        <v>645934</v>
      </c>
      <c r="D119" s="51">
        <f>'Sewer Services'!E105</f>
        <v>817598</v>
      </c>
      <c r="E119" s="51">
        <f>'Sewer Services'!F105</f>
        <v>1375916</v>
      </c>
      <c r="F119" s="51">
        <f>'Sewer Services'!G105</f>
        <v>731952.62</v>
      </c>
      <c r="G119" s="51">
        <f>'Sewer Services'!H105</f>
        <v>829584</v>
      </c>
      <c r="H119" s="51"/>
      <c r="I119" s="51">
        <f>'Sewer Services'!J105</f>
        <v>1076727.1510000001</v>
      </c>
      <c r="J119" s="51">
        <f>'Sewer Services'!K105</f>
        <v>619600</v>
      </c>
      <c r="K119" s="51">
        <f>'Sewer Services'!L105</f>
        <v>1696327.1510000001</v>
      </c>
    </row>
    <row r="120" spans="1:11" x14ac:dyDescent="0.25">
      <c r="A120" s="33" t="s">
        <v>3479</v>
      </c>
      <c r="B120" s="51">
        <f>'Wastewater Treatment Plant'!C96</f>
        <v>422001</v>
      </c>
      <c r="C120" s="51">
        <f>'Wastewater Treatment Plant'!D96</f>
        <v>491751</v>
      </c>
      <c r="D120" s="51">
        <f>'Wastewater Treatment Plant'!E96</f>
        <v>540677</v>
      </c>
      <c r="E120" s="51">
        <f>'Wastewater Treatment Plant'!F96</f>
        <v>1402782</v>
      </c>
      <c r="F120" s="51">
        <f>'Wastewater Treatment Plant'!G96</f>
        <v>1338709.81</v>
      </c>
      <c r="G120" s="51">
        <f>'Wastewater Treatment Plant'!H96</f>
        <v>1550553</v>
      </c>
      <c r="H120" s="51"/>
      <c r="I120" s="51">
        <f>'Wastewater Treatment Plant'!J96</f>
        <v>3251794.966</v>
      </c>
      <c r="J120" s="51">
        <f>'Wastewater Treatment Plant'!K96</f>
        <v>300000</v>
      </c>
      <c r="K120" s="51">
        <f>'Wastewater Treatment Plant'!L96</f>
        <v>3551794.966</v>
      </c>
    </row>
    <row r="121" spans="1:11" x14ac:dyDescent="0.25">
      <c r="A121" s="33" t="s">
        <v>3480</v>
      </c>
      <c r="B121" s="51">
        <f>'Effluent Disposal'!C97</f>
        <v>279844</v>
      </c>
      <c r="C121" s="51">
        <f>'Effluent Disposal'!D97</f>
        <v>253946</v>
      </c>
      <c r="D121" s="51">
        <f>'Effluent Disposal'!E97</f>
        <v>522873</v>
      </c>
      <c r="E121" s="51">
        <f>'Effluent Disposal'!F97</f>
        <v>3926995</v>
      </c>
      <c r="F121" s="51">
        <f>'Effluent Disposal'!G97</f>
        <v>4687178.68</v>
      </c>
      <c r="G121" s="51">
        <f>'Effluent Disposal'!H97</f>
        <v>4715753</v>
      </c>
      <c r="H121" s="51"/>
      <c r="I121" s="51">
        <f>'Effluent Disposal'!J97</f>
        <v>4530632.5470000003</v>
      </c>
      <c r="J121" s="51">
        <f>'Effluent Disposal'!K97</f>
        <v>0</v>
      </c>
      <c r="K121" s="51">
        <f>'Effluent Disposal'!L97</f>
        <v>4530632.5470000003</v>
      </c>
    </row>
    <row r="122" spans="1:11" hidden="1" x14ac:dyDescent="0.25">
      <c r="A122" s="33" t="s">
        <v>3481</v>
      </c>
      <c r="B122" s="51">
        <v>0</v>
      </c>
      <c r="C122" s="51">
        <v>0</v>
      </c>
      <c r="D122" s="51">
        <v>0</v>
      </c>
      <c r="E122" s="51">
        <v>0</v>
      </c>
      <c r="F122" s="51">
        <v>0</v>
      </c>
      <c r="G122" s="56"/>
      <c r="H122" s="51"/>
      <c r="I122" s="51">
        <v>0</v>
      </c>
      <c r="J122" s="51">
        <v>0</v>
      </c>
    </row>
    <row r="123" spans="1:11" hidden="1" x14ac:dyDescent="0.25">
      <c r="A123" s="33" t="s">
        <v>3482</v>
      </c>
      <c r="B123" s="51">
        <v>0</v>
      </c>
      <c r="C123" s="51">
        <v>0</v>
      </c>
      <c r="D123" s="51">
        <v>0</v>
      </c>
      <c r="E123" s="51">
        <v>0</v>
      </c>
      <c r="F123" s="51">
        <v>0</v>
      </c>
      <c r="G123" s="56"/>
      <c r="H123" s="51"/>
      <c r="I123" s="51">
        <v>0</v>
      </c>
      <c r="J123" s="51">
        <v>0</v>
      </c>
    </row>
    <row r="124" spans="1:11" x14ac:dyDescent="0.25">
      <c r="A124" s="33" t="s">
        <v>3483</v>
      </c>
      <c r="B124" s="51">
        <f>'Booster Pumps'!C92</f>
        <v>109703</v>
      </c>
      <c r="C124" s="51">
        <f>'Booster Pumps'!D92</f>
        <v>74156</v>
      </c>
      <c r="D124" s="51">
        <f>'Booster Pumps'!E92</f>
        <v>99386</v>
      </c>
      <c r="E124" s="51">
        <f>'Booster Pumps'!F92</f>
        <v>240110</v>
      </c>
      <c r="F124" s="51">
        <f>'Booster Pumps'!G92</f>
        <v>95118.6</v>
      </c>
      <c r="G124" s="51">
        <f>'Booster Pumps'!H92</f>
        <v>115795</v>
      </c>
      <c r="H124" s="51"/>
      <c r="I124" s="51">
        <f>'Booster Pumps'!J92</f>
        <v>404125.91200000001</v>
      </c>
      <c r="J124" s="51">
        <f>'Booster Pumps'!K92</f>
        <v>0</v>
      </c>
      <c r="K124" s="51">
        <f>'Booster Pumps'!L92</f>
        <v>254125.91200000001</v>
      </c>
    </row>
    <row r="125" spans="1:11" x14ac:dyDescent="0.25">
      <c r="A125" s="33" t="s">
        <v>3484</v>
      </c>
      <c r="B125" s="51">
        <f>'Lift Stations'!C89</f>
        <v>317491</v>
      </c>
      <c r="C125" s="51">
        <f>'Lift Stations'!D89</f>
        <v>238132</v>
      </c>
      <c r="D125" s="51">
        <f>'Lift Stations'!E89</f>
        <v>467540</v>
      </c>
      <c r="E125" s="51">
        <f>'Lift Stations'!F89</f>
        <v>1242540</v>
      </c>
      <c r="F125" s="51">
        <f>'Lift Stations'!G89</f>
        <v>328799.03000000003</v>
      </c>
      <c r="G125" s="51">
        <f>'Lift Stations'!H89</f>
        <v>341810</v>
      </c>
      <c r="H125" s="51"/>
      <c r="I125" s="51">
        <f>'Lift Stations'!J89</f>
        <v>314135.40399999998</v>
      </c>
      <c r="J125" s="51">
        <f>'Lift Stations'!K89</f>
        <v>0</v>
      </c>
      <c r="K125" s="51">
        <f>'Lift Stations'!L89</f>
        <v>314135.40399999998</v>
      </c>
    </row>
    <row r="126" spans="1:11" hidden="1" x14ac:dyDescent="0.25">
      <c r="A126" s="33" t="s">
        <v>3485</v>
      </c>
      <c r="B126" s="51">
        <v>0</v>
      </c>
      <c r="C126" s="51">
        <v>0</v>
      </c>
      <c r="D126" s="51">
        <v>0</v>
      </c>
      <c r="E126" s="51">
        <v>0</v>
      </c>
      <c r="F126" s="51">
        <v>0</v>
      </c>
      <c r="G126" s="51"/>
      <c r="H126" s="51"/>
      <c r="I126" s="51">
        <v>0</v>
      </c>
      <c r="J126" s="51">
        <v>0</v>
      </c>
    </row>
    <row r="127" spans="1:11" x14ac:dyDescent="0.25">
      <c r="A127" s="33" t="s">
        <v>3446</v>
      </c>
      <c r="B127" s="51">
        <v>0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/>
      <c r="I127" s="51">
        <v>0</v>
      </c>
      <c r="J127" s="51">
        <v>0</v>
      </c>
      <c r="K127" s="52">
        <f>I127+J127</f>
        <v>0</v>
      </c>
    </row>
    <row r="128" spans="1:11" x14ac:dyDescent="0.25">
      <c r="A128" s="33" t="s">
        <v>3486</v>
      </c>
      <c r="B128" s="51">
        <v>0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/>
      <c r="I128" s="51">
        <v>0</v>
      </c>
      <c r="J128" s="51">
        <v>0</v>
      </c>
      <c r="K128" s="52">
        <f>I128+J128</f>
        <v>0</v>
      </c>
    </row>
    <row r="129" spans="1:11" x14ac:dyDescent="0.25">
      <c r="A129" s="33" t="s">
        <v>3449</v>
      </c>
      <c r="B129" s="51">
        <v>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/>
      <c r="I129" s="51">
        <v>0</v>
      </c>
      <c r="J129" s="51">
        <v>0</v>
      </c>
      <c r="K129" s="52">
        <f>I129+J129</f>
        <v>0</v>
      </c>
    </row>
    <row r="130" spans="1:11" x14ac:dyDescent="0.25">
      <c r="A130" s="33" t="s">
        <v>3487</v>
      </c>
      <c r="B130" s="51">
        <v>0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/>
      <c r="I130" s="51">
        <v>0</v>
      </c>
      <c r="J130" s="51">
        <v>0</v>
      </c>
      <c r="K130" s="52">
        <f>I130+J130</f>
        <v>0</v>
      </c>
    </row>
    <row r="131" spans="1:11" x14ac:dyDescent="0.25">
      <c r="B131" s="51"/>
      <c r="C131" s="51"/>
      <c r="D131" s="51"/>
      <c r="E131" s="51"/>
      <c r="F131" s="51"/>
      <c r="G131" s="51"/>
      <c r="H131" s="51"/>
    </row>
    <row r="132" spans="1:11" x14ac:dyDescent="0.25">
      <c r="A132" s="33" t="s">
        <v>3488</v>
      </c>
      <c r="B132" s="51">
        <f t="shared" ref="B132:G132" si="9">SUM(B110:B130)</f>
        <v>7706729</v>
      </c>
      <c r="C132" s="51">
        <f t="shared" si="9"/>
        <v>6826077</v>
      </c>
      <c r="D132" s="51">
        <f t="shared" si="9"/>
        <v>9265355</v>
      </c>
      <c r="E132" s="51">
        <f t="shared" si="9"/>
        <v>17108866</v>
      </c>
      <c r="F132" s="51">
        <f t="shared" si="9"/>
        <v>12754867.569999998</v>
      </c>
      <c r="G132" s="51">
        <f t="shared" si="9"/>
        <v>15674550.189999999</v>
      </c>
      <c r="H132" s="51"/>
      <c r="I132" s="51">
        <f>SUM(I110:I130)</f>
        <v>20344217.063000001</v>
      </c>
      <c r="J132" s="51">
        <f>SUM(J110:J130)</f>
        <v>1263500</v>
      </c>
      <c r="K132" s="51">
        <f>SUM(K110:K130)</f>
        <v>21457717.063000001</v>
      </c>
    </row>
    <row r="133" spans="1:11" x14ac:dyDescent="0.25">
      <c r="B133" s="51"/>
      <c r="C133" s="51"/>
      <c r="D133" s="51"/>
      <c r="E133" s="51"/>
      <c r="F133" s="51"/>
      <c r="G133" s="51"/>
      <c r="H133" s="51"/>
    </row>
    <row r="134" spans="1:11" x14ac:dyDescent="0.25">
      <c r="A134" s="33" t="s">
        <v>3452</v>
      </c>
      <c r="B134" s="51">
        <f>B106-B132</f>
        <v>5286487</v>
      </c>
      <c r="C134" s="51">
        <f t="shared" ref="C134:E134" si="10">C106-C132</f>
        <v>3881612</v>
      </c>
      <c r="D134" s="51">
        <f t="shared" si="10"/>
        <v>1388415</v>
      </c>
      <c r="E134" s="51">
        <f t="shared" si="10"/>
        <v>-4480242</v>
      </c>
      <c r="F134" s="51">
        <f>F106-F132</f>
        <v>-4247327.5299999993</v>
      </c>
      <c r="G134" s="58"/>
      <c r="H134" s="51"/>
      <c r="I134" s="51">
        <f>I106-I132</f>
        <v>-4635292.063000001</v>
      </c>
      <c r="J134" s="51">
        <f>J106-J132</f>
        <v>-1263500</v>
      </c>
      <c r="K134" s="51">
        <f>K106-K132</f>
        <v>-5748792.063000001</v>
      </c>
    </row>
    <row r="135" spans="1:11" x14ac:dyDescent="0.25">
      <c r="B135" s="51"/>
      <c r="C135" s="51"/>
      <c r="D135" s="51"/>
      <c r="E135" s="51"/>
      <c r="F135" s="51"/>
      <c r="G135" s="58"/>
      <c r="H135" s="51"/>
      <c r="I135" s="51"/>
      <c r="J135" s="51"/>
    </row>
    <row r="136" spans="1:11" hidden="1" x14ac:dyDescent="0.25">
      <c r="A136" s="55" t="s">
        <v>3453</v>
      </c>
      <c r="B136" s="51">
        <v>3403310</v>
      </c>
      <c r="C136" s="51">
        <v>-3031189</v>
      </c>
      <c r="D136" s="51">
        <v>-26442</v>
      </c>
      <c r="E136" s="51">
        <v>0</v>
      </c>
      <c r="F136" s="51">
        <v>0</v>
      </c>
      <c r="G136" s="51"/>
      <c r="H136" s="51"/>
      <c r="I136" s="51">
        <v>0</v>
      </c>
      <c r="J136" s="51">
        <f>H136+I136</f>
        <v>0</v>
      </c>
      <c r="K136" s="52">
        <f>I136+J136</f>
        <v>0</v>
      </c>
    </row>
    <row r="137" spans="1:11" hidden="1" x14ac:dyDescent="0.25">
      <c r="B137" s="51"/>
      <c r="C137" s="51"/>
      <c r="D137" s="51"/>
      <c r="E137" s="51"/>
      <c r="F137" s="51"/>
      <c r="G137" s="51"/>
      <c r="H137" s="51"/>
    </row>
    <row r="138" spans="1:11" hidden="1" x14ac:dyDescent="0.25">
      <c r="A138" s="33" t="s">
        <v>3454</v>
      </c>
      <c r="B138" s="51">
        <f>+B104+B106-B132+B136</f>
        <v>13669661</v>
      </c>
      <c r="C138" s="51">
        <f t="shared" ref="C138:K138" si="11">+C104+C106-C132+C136</f>
        <v>14520084</v>
      </c>
      <c r="D138" s="51">
        <f t="shared" si="11"/>
        <v>15882057</v>
      </c>
      <c r="E138" s="51">
        <f t="shared" si="11"/>
        <v>11401815</v>
      </c>
      <c r="F138" s="51">
        <f t="shared" si="11"/>
        <v>-4247327.5299999993</v>
      </c>
      <c r="G138" s="51">
        <f t="shared" si="11"/>
        <v>10120058.810000001</v>
      </c>
      <c r="H138" s="51"/>
      <c r="I138" s="51">
        <f t="shared" si="11"/>
        <v>-4635292.063000001</v>
      </c>
      <c r="J138" s="51">
        <f t="shared" si="11"/>
        <v>-1263500</v>
      </c>
      <c r="K138" s="51">
        <f t="shared" si="11"/>
        <v>4371266.7470000014</v>
      </c>
    </row>
    <row r="139" spans="1:11" x14ac:dyDescent="0.25">
      <c r="B139" s="51"/>
      <c r="C139" s="51"/>
      <c r="D139" s="51"/>
      <c r="E139" s="51"/>
      <c r="F139" s="51"/>
      <c r="G139" s="51"/>
      <c r="H139" s="51"/>
    </row>
    <row r="140" spans="1:11" x14ac:dyDescent="0.25">
      <c r="B140" s="51"/>
      <c r="C140" s="51"/>
      <c r="D140" s="51"/>
      <c r="E140" s="51"/>
      <c r="F140" s="51"/>
      <c r="G140" s="51"/>
      <c r="H140" s="51"/>
    </row>
    <row r="141" spans="1:11" x14ac:dyDescent="0.25">
      <c r="A141" s="33" t="s">
        <v>3489</v>
      </c>
      <c r="G141" s="59"/>
    </row>
    <row r="142" spans="1:11" x14ac:dyDescent="0.25">
      <c r="A142" s="33" t="s">
        <v>3490</v>
      </c>
      <c r="B142" s="59">
        <f>+B16+B18</f>
        <v>12674039</v>
      </c>
      <c r="C142" s="59">
        <f t="shared" ref="C142:G142" si="12">+C16+C18</f>
        <v>14540628</v>
      </c>
      <c r="D142" s="59">
        <f t="shared" si="12"/>
        <v>16536222</v>
      </c>
      <c r="E142" s="59">
        <f t="shared" si="12"/>
        <v>15723432</v>
      </c>
      <c r="F142" s="59">
        <f t="shared" si="12"/>
        <v>12024515.310000001</v>
      </c>
      <c r="G142" s="59">
        <f t="shared" si="12"/>
        <v>15185739</v>
      </c>
      <c r="H142" s="59"/>
      <c r="I142" s="59">
        <f>+I16+I18</f>
        <v>15487068</v>
      </c>
      <c r="J142" s="59">
        <f>+J16+J18</f>
        <v>0</v>
      </c>
      <c r="K142" s="59">
        <f>+K16+K18</f>
        <v>15487068</v>
      </c>
    </row>
    <row r="143" spans="1:11" x14ac:dyDescent="0.25">
      <c r="A143" s="33" t="s">
        <v>3491</v>
      </c>
      <c r="B143" s="59">
        <f t="shared" ref="B143:G143" si="13">B63+B64</f>
        <v>420123</v>
      </c>
      <c r="C143" s="59">
        <f t="shared" si="13"/>
        <v>715721</v>
      </c>
      <c r="D143" s="59">
        <f t="shared" si="13"/>
        <v>343484</v>
      </c>
      <c r="E143" s="59">
        <f t="shared" si="13"/>
        <v>380354</v>
      </c>
      <c r="F143" s="59">
        <f t="shared" si="13"/>
        <v>246484.65999999997</v>
      </c>
      <c r="G143" s="59">
        <f t="shared" si="13"/>
        <v>313710</v>
      </c>
      <c r="H143" s="59"/>
      <c r="I143" s="59">
        <f>I63+I64</f>
        <v>343800</v>
      </c>
      <c r="J143" s="59">
        <f>J63+J64</f>
        <v>0</v>
      </c>
      <c r="K143" s="59">
        <f>K63+K64</f>
        <v>343800</v>
      </c>
    </row>
    <row r="144" spans="1:11" x14ac:dyDescent="0.25">
      <c r="A144" s="33" t="s">
        <v>3492</v>
      </c>
      <c r="B144" s="59">
        <f t="shared" ref="B144:G144" si="14">+B78+B83</f>
        <v>1204687</v>
      </c>
      <c r="C144" s="59">
        <f t="shared" si="14"/>
        <v>1319485</v>
      </c>
      <c r="D144" s="59">
        <f t="shared" si="14"/>
        <v>1487871</v>
      </c>
      <c r="E144" s="59">
        <f t="shared" si="14"/>
        <v>1593219</v>
      </c>
      <c r="F144" s="59">
        <f t="shared" si="14"/>
        <v>744160.94000000006</v>
      </c>
      <c r="G144" s="59">
        <f t="shared" si="14"/>
        <v>889935</v>
      </c>
      <c r="H144" s="59"/>
      <c r="I144" s="59">
        <f>+I78+I83</f>
        <v>1185403</v>
      </c>
      <c r="J144" s="59">
        <f>+J78+J83</f>
        <v>0</v>
      </c>
      <c r="K144" s="59">
        <f>+K78+K83</f>
        <v>1185403</v>
      </c>
    </row>
    <row r="145" spans="1:11" x14ac:dyDescent="0.25">
      <c r="A145" s="33" t="s">
        <v>3493</v>
      </c>
      <c r="B145" s="59">
        <f>+B106</f>
        <v>12993216</v>
      </c>
      <c r="C145" s="59">
        <f t="shared" ref="C145:K145" si="15">+C106</f>
        <v>10707689</v>
      </c>
      <c r="D145" s="59">
        <f t="shared" si="15"/>
        <v>10653770</v>
      </c>
      <c r="E145" s="59">
        <f t="shared" si="15"/>
        <v>12628624</v>
      </c>
      <c r="F145" s="59">
        <f t="shared" si="15"/>
        <v>8507540.0399999991</v>
      </c>
      <c r="G145" s="59">
        <f t="shared" si="15"/>
        <v>9912552</v>
      </c>
      <c r="H145" s="59"/>
      <c r="I145" s="59">
        <f t="shared" si="15"/>
        <v>15708925</v>
      </c>
      <c r="J145" s="59">
        <f t="shared" si="15"/>
        <v>0</v>
      </c>
      <c r="K145" s="59">
        <f t="shared" si="15"/>
        <v>15708925</v>
      </c>
    </row>
    <row r="146" spans="1:11" x14ac:dyDescent="0.25">
      <c r="A146" s="33" t="s">
        <v>109</v>
      </c>
      <c r="B146" s="59">
        <f t="shared" ref="B146:G146" si="16">SUM(B142:B145)</f>
        <v>27292065</v>
      </c>
      <c r="C146" s="59">
        <f t="shared" si="16"/>
        <v>27283523</v>
      </c>
      <c r="D146" s="59">
        <f t="shared" si="16"/>
        <v>29021347</v>
      </c>
      <c r="E146" s="59">
        <f t="shared" si="16"/>
        <v>30325629</v>
      </c>
      <c r="F146" s="59">
        <f t="shared" si="16"/>
        <v>21522700.949999999</v>
      </c>
      <c r="G146" s="59">
        <f t="shared" si="16"/>
        <v>26301936</v>
      </c>
      <c r="H146" s="59"/>
      <c r="I146" s="59">
        <f>SUM(I142:I145)</f>
        <v>32725196</v>
      </c>
      <c r="J146" s="59">
        <f>SUM(J142:J145)</f>
        <v>0</v>
      </c>
      <c r="K146" s="59">
        <f>SUM(K142:K145)</f>
        <v>32725196</v>
      </c>
    </row>
    <row r="147" spans="1:11" x14ac:dyDescent="0.25">
      <c r="G147" s="59"/>
    </row>
    <row r="148" spans="1:11" x14ac:dyDescent="0.25">
      <c r="A148" s="33" t="s">
        <v>3494</v>
      </c>
      <c r="G148" s="59"/>
    </row>
    <row r="149" spans="1:11" x14ac:dyDescent="0.25">
      <c r="A149" s="33" t="s">
        <v>3490</v>
      </c>
      <c r="B149" s="59">
        <f t="shared" ref="B149:G149" si="17">+B50</f>
        <v>10834697</v>
      </c>
      <c r="C149" s="59">
        <f t="shared" si="17"/>
        <v>12138109</v>
      </c>
      <c r="D149" s="59">
        <f t="shared" si="17"/>
        <v>12990329</v>
      </c>
      <c r="E149" s="59">
        <f t="shared" si="17"/>
        <v>15602195</v>
      </c>
      <c r="F149" s="59">
        <f t="shared" si="17"/>
        <v>10026323.790000001</v>
      </c>
      <c r="G149" s="59">
        <f t="shared" si="17"/>
        <v>11207146.299999999</v>
      </c>
      <c r="H149" s="59"/>
      <c r="I149" s="59">
        <f>+I50</f>
        <v>12106710.269000003</v>
      </c>
      <c r="J149" s="59">
        <f>+J50</f>
        <v>436602.76</v>
      </c>
      <c r="K149" s="59">
        <f>+K50</f>
        <v>12497553.029000003</v>
      </c>
    </row>
    <row r="150" spans="1:11" x14ac:dyDescent="0.25">
      <c r="A150" s="33" t="s">
        <v>3491</v>
      </c>
      <c r="B150" s="59">
        <f t="shared" ref="B150:G150" si="18">B65</f>
        <v>490805</v>
      </c>
      <c r="C150" s="59">
        <f t="shared" si="18"/>
        <v>268959</v>
      </c>
      <c r="D150" s="59">
        <f t="shared" si="18"/>
        <v>306113</v>
      </c>
      <c r="E150" s="59">
        <f t="shared" si="18"/>
        <v>380357</v>
      </c>
      <c r="F150" s="59">
        <f t="shared" si="18"/>
        <v>307936.74</v>
      </c>
      <c r="G150" s="59">
        <f t="shared" si="18"/>
        <v>350302</v>
      </c>
      <c r="H150" s="59"/>
      <c r="I150" s="59">
        <f>I65</f>
        <v>323514.07</v>
      </c>
      <c r="J150" s="59">
        <f>J65</f>
        <v>0</v>
      </c>
      <c r="K150" s="59">
        <f>K65</f>
        <v>323514.07</v>
      </c>
    </row>
    <row r="151" spans="1:11" x14ac:dyDescent="0.25">
      <c r="A151" s="33" t="s">
        <v>3492</v>
      </c>
      <c r="B151" s="59">
        <f t="shared" ref="B151:G151" si="19">+B93</f>
        <v>821490</v>
      </c>
      <c r="C151" s="59">
        <f t="shared" si="19"/>
        <v>1128565</v>
      </c>
      <c r="D151" s="59">
        <f t="shared" si="19"/>
        <v>1219496</v>
      </c>
      <c r="E151" s="59">
        <f t="shared" si="19"/>
        <v>1593221</v>
      </c>
      <c r="F151" s="59">
        <f t="shared" si="19"/>
        <v>1095687.96</v>
      </c>
      <c r="G151" s="59">
        <f t="shared" si="19"/>
        <v>1224728.27</v>
      </c>
      <c r="H151" s="59"/>
      <c r="I151" s="59">
        <f>+I93</f>
        <v>1410755.2619999999</v>
      </c>
      <c r="J151" s="59">
        <f>+J93</f>
        <v>75000</v>
      </c>
      <c r="K151" s="59">
        <f>+K93</f>
        <v>1485755.2619999999</v>
      </c>
    </row>
    <row r="152" spans="1:11" x14ac:dyDescent="0.25">
      <c r="A152" s="33" t="s">
        <v>3493</v>
      </c>
      <c r="B152" s="59">
        <f t="shared" ref="B152:G152" si="20">+B132</f>
        <v>7706729</v>
      </c>
      <c r="C152" s="59">
        <f t="shared" si="20"/>
        <v>6826077</v>
      </c>
      <c r="D152" s="59">
        <f t="shared" si="20"/>
        <v>9265355</v>
      </c>
      <c r="E152" s="59">
        <f t="shared" si="20"/>
        <v>17108866</v>
      </c>
      <c r="F152" s="59">
        <f t="shared" si="20"/>
        <v>12754867.569999998</v>
      </c>
      <c r="G152" s="59">
        <f t="shared" si="20"/>
        <v>15674550.189999999</v>
      </c>
      <c r="H152" s="59"/>
      <c r="I152" s="59">
        <f>+I132</f>
        <v>20344217.063000001</v>
      </c>
      <c r="J152" s="59">
        <f>+J132</f>
        <v>1263500</v>
      </c>
      <c r="K152" s="59">
        <f>+K132</f>
        <v>21457717.063000001</v>
      </c>
    </row>
    <row r="153" spans="1:11" x14ac:dyDescent="0.25">
      <c r="A153" s="33" t="s">
        <v>109</v>
      </c>
      <c r="B153" s="59">
        <f t="shared" ref="B153:G153" si="21">SUM(B149:B152)</f>
        <v>19853721</v>
      </c>
      <c r="C153" s="59">
        <f t="shared" si="21"/>
        <v>20361710</v>
      </c>
      <c r="D153" s="59">
        <f t="shared" si="21"/>
        <v>23781293</v>
      </c>
      <c r="E153" s="59">
        <f t="shared" si="21"/>
        <v>34684639</v>
      </c>
      <c r="F153" s="59">
        <f t="shared" si="21"/>
        <v>24184816.060000002</v>
      </c>
      <c r="G153" s="59">
        <f t="shared" si="21"/>
        <v>28456726.759999998</v>
      </c>
      <c r="H153" s="59"/>
      <c r="I153" s="59">
        <f>SUM(I149:I152)</f>
        <v>34185196.664000005</v>
      </c>
      <c r="J153" s="59">
        <f>SUM(J149:J152)</f>
        <v>1775102.76</v>
      </c>
      <c r="K153" s="59">
        <f>SUM(K149:K152)</f>
        <v>35764539.424000002</v>
      </c>
    </row>
    <row r="155" spans="1:11" x14ac:dyDescent="0.25">
      <c r="A155" s="33" t="s">
        <v>3495</v>
      </c>
      <c r="B155" s="59">
        <f>+B146-B153</f>
        <v>7438344</v>
      </c>
      <c r="C155" s="59">
        <f>+C146-C153</f>
        <v>6921813</v>
      </c>
      <c r="D155" s="59">
        <f t="shared" ref="D155:G155" si="22">+D146-D153</f>
        <v>5240054</v>
      </c>
      <c r="E155" s="59">
        <f t="shared" si="22"/>
        <v>-4359010</v>
      </c>
      <c r="F155" s="59">
        <f t="shared" si="22"/>
        <v>-2662115.1100000031</v>
      </c>
      <c r="G155" s="59">
        <f t="shared" si="22"/>
        <v>-2154790.7599999979</v>
      </c>
      <c r="H155" s="59"/>
      <c r="I155" s="59">
        <f>+I146-I153</f>
        <v>-1460000.6640000045</v>
      </c>
      <c r="J155" s="59">
        <f>+J146-J153</f>
        <v>-1775102.76</v>
      </c>
      <c r="K155" s="59">
        <f>+K146-K153</f>
        <v>-3039343.4240000024</v>
      </c>
    </row>
    <row r="156" spans="1:11" x14ac:dyDescent="0.25">
      <c r="B156" s="59"/>
      <c r="C156" s="59"/>
      <c r="D156" s="59"/>
      <c r="E156" s="59"/>
      <c r="F156" s="59"/>
      <c r="G156" s="59"/>
      <c r="H156" s="59"/>
    </row>
    <row r="157" spans="1:11" x14ac:dyDescent="0.25">
      <c r="B157" s="51"/>
      <c r="C157" s="51"/>
      <c r="D157" s="51"/>
      <c r="E157" s="51"/>
      <c r="F157" s="51"/>
      <c r="G157" s="51"/>
      <c r="H157" s="51"/>
    </row>
    <row r="158" spans="1:11" x14ac:dyDescent="0.25">
      <c r="A158" s="49" t="s">
        <v>3496</v>
      </c>
      <c r="B158" s="51"/>
      <c r="C158" s="51"/>
      <c r="D158" s="51"/>
      <c r="E158" s="51"/>
      <c r="F158" s="51"/>
      <c r="G158" s="51"/>
      <c r="H158" s="51"/>
    </row>
    <row r="159" spans="1:11" x14ac:dyDescent="0.25">
      <c r="A159" s="49"/>
      <c r="B159" s="51"/>
      <c r="C159" s="51"/>
      <c r="D159" s="51"/>
      <c r="E159" s="51"/>
      <c r="F159" s="51"/>
      <c r="G159" s="51"/>
      <c r="H159" s="51"/>
    </row>
    <row r="160" spans="1:11" hidden="1" x14ac:dyDescent="0.25">
      <c r="A160" s="33" t="s">
        <v>3420</v>
      </c>
      <c r="B160" s="51">
        <v>767424</v>
      </c>
      <c r="C160" s="51">
        <v>926836</v>
      </c>
      <c r="D160" s="51">
        <v>1044925</v>
      </c>
      <c r="E160" s="51">
        <v>1089793</v>
      </c>
      <c r="F160" s="51">
        <v>0</v>
      </c>
      <c r="G160" s="51">
        <v>1089793</v>
      </c>
      <c r="H160" s="51"/>
      <c r="I160" s="51">
        <v>0</v>
      </c>
      <c r="J160" s="51">
        <v>0</v>
      </c>
      <c r="K160" s="52">
        <f>G173</f>
        <v>1204977</v>
      </c>
    </row>
    <row r="161" spans="1:11" hidden="1" x14ac:dyDescent="0.25">
      <c r="B161" s="51"/>
      <c r="C161" s="51"/>
      <c r="D161" s="51"/>
      <c r="E161" s="51"/>
      <c r="F161" s="51"/>
      <c r="G161" s="51"/>
      <c r="H161" s="51"/>
    </row>
    <row r="162" spans="1:11" x14ac:dyDescent="0.25">
      <c r="A162" s="33" t="s">
        <v>3421</v>
      </c>
      <c r="B162" s="51">
        <f>'Hotel Fund'!C10</f>
        <v>236652</v>
      </c>
      <c r="C162" s="51">
        <f>'Hotel Fund'!D10</f>
        <v>213820</v>
      </c>
      <c r="D162" s="51">
        <f>'Hotel Fund'!E10</f>
        <v>190782</v>
      </c>
      <c r="E162" s="51">
        <f>'Hotel Fund'!F10</f>
        <v>261012</v>
      </c>
      <c r="F162" s="51">
        <f>'Hotel Fund'!G10</f>
        <v>167444.71</v>
      </c>
      <c r="G162" s="51">
        <f>'Hotel Fund'!H10</f>
        <v>170000</v>
      </c>
      <c r="H162" s="51"/>
      <c r="I162" s="51">
        <f>'Hotel Fund'!J10</f>
        <v>160000</v>
      </c>
      <c r="J162" s="51">
        <f>'Hotel Fund'!K10</f>
        <v>0</v>
      </c>
      <c r="K162" s="51">
        <f>'Hotel Fund'!L10</f>
        <v>160000</v>
      </c>
    </row>
    <row r="163" spans="1:11" x14ac:dyDescent="0.25">
      <c r="A163" s="33" t="s">
        <v>3497</v>
      </c>
      <c r="B163" s="51">
        <v>0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/>
      <c r="I163" s="51">
        <v>0</v>
      </c>
      <c r="J163" s="51">
        <v>0</v>
      </c>
      <c r="K163" s="52">
        <f>I163+J163</f>
        <v>0</v>
      </c>
    </row>
    <row r="164" spans="1:11" x14ac:dyDescent="0.25">
      <c r="A164" s="33" t="s">
        <v>3498</v>
      </c>
      <c r="B164" s="51">
        <f>'Hotel Fund'!C11</f>
        <v>6353</v>
      </c>
      <c r="C164" s="51">
        <f>'Hotel Fund'!D11</f>
        <v>44268</v>
      </c>
      <c r="D164" s="51">
        <f>'Hotel Fund'!E11</f>
        <v>55057</v>
      </c>
      <c r="E164" s="51">
        <f>'Hotel Fund'!F11</f>
        <v>40988</v>
      </c>
      <c r="F164" s="51">
        <f>'Hotel Fund'!G11</f>
        <v>36313.550000000003</v>
      </c>
      <c r="G164" s="51">
        <f>'Hotel Fund'!H11</f>
        <v>48184</v>
      </c>
      <c r="H164" s="51"/>
      <c r="I164" s="51">
        <f>'Hotel Fund'!J11</f>
        <v>52000</v>
      </c>
      <c r="J164" s="51">
        <f>'Hotel Fund'!K11</f>
        <v>0</v>
      </c>
      <c r="K164" s="51">
        <f>'Hotel Fund'!L11</f>
        <v>52000</v>
      </c>
    </row>
    <row r="165" spans="1:11" x14ac:dyDescent="0.25">
      <c r="A165" s="33" t="s">
        <v>3499</v>
      </c>
      <c r="B165" s="51">
        <v>0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/>
      <c r="I165" s="51">
        <v>0</v>
      </c>
      <c r="J165" s="51">
        <v>0</v>
      </c>
      <c r="K165" s="52">
        <f>I165+J165</f>
        <v>0</v>
      </c>
    </row>
    <row r="166" spans="1:11" x14ac:dyDescent="0.25">
      <c r="B166" s="51"/>
      <c r="C166" s="51"/>
      <c r="D166" s="51"/>
      <c r="E166" s="51"/>
      <c r="F166" s="51"/>
      <c r="G166" s="51"/>
      <c r="H166" s="51"/>
      <c r="I166" s="51"/>
      <c r="J166" s="51"/>
    </row>
    <row r="167" spans="1:11" x14ac:dyDescent="0.25">
      <c r="A167" s="33" t="s">
        <v>3457</v>
      </c>
      <c r="B167" s="51">
        <f>'Hotel Fund'!C82</f>
        <v>83593</v>
      </c>
      <c r="C167" s="51">
        <f>'Hotel Fund'!D82</f>
        <v>139999</v>
      </c>
      <c r="D167" s="51">
        <f>'Hotel Fund'!E82</f>
        <v>200971</v>
      </c>
      <c r="E167" s="51">
        <f>'Hotel Fund'!F82</f>
        <v>153550</v>
      </c>
      <c r="F167" s="51">
        <f>'Hotel Fund'!G82</f>
        <v>83346.709999999992</v>
      </c>
      <c r="G167" s="51">
        <f>'Hotel Fund'!H82</f>
        <v>103000</v>
      </c>
      <c r="H167" s="51"/>
      <c r="I167" s="51">
        <f>'Hotel Fund'!J82</f>
        <v>150250</v>
      </c>
      <c r="J167" s="51">
        <f>'Hotel Fund'!K82</f>
        <v>260350</v>
      </c>
      <c r="K167" s="51">
        <f>'Hotel Fund'!L82</f>
        <v>410600</v>
      </c>
    </row>
    <row r="168" spans="1:11" x14ac:dyDescent="0.25">
      <c r="B168" s="51"/>
      <c r="C168" s="51"/>
      <c r="D168" s="51"/>
      <c r="E168" s="51"/>
      <c r="F168" s="51"/>
      <c r="G168" s="51"/>
      <c r="H168" s="51"/>
    </row>
    <row r="169" spans="1:11" x14ac:dyDescent="0.25">
      <c r="A169" s="33" t="s">
        <v>3452</v>
      </c>
      <c r="B169" s="51">
        <f t="shared" ref="B169:G169" si="23">B162+B163+B164+B165-B167</f>
        <v>159412</v>
      </c>
      <c r="C169" s="51">
        <f t="shared" si="23"/>
        <v>118089</v>
      </c>
      <c r="D169" s="51">
        <f t="shared" si="23"/>
        <v>44868</v>
      </c>
      <c r="E169" s="51">
        <f t="shared" si="23"/>
        <v>148450</v>
      </c>
      <c r="F169" s="51">
        <f t="shared" si="23"/>
        <v>120411.55000000002</v>
      </c>
      <c r="G169" s="51">
        <f t="shared" si="23"/>
        <v>115184</v>
      </c>
      <c r="H169" s="51"/>
      <c r="I169" s="51">
        <f>I162+I163+I164+I165-I167</f>
        <v>61750</v>
      </c>
      <c r="J169" s="51">
        <f>J162+J163+J164+J165-J167</f>
        <v>-260350</v>
      </c>
      <c r="K169" s="51">
        <f>K162+K163+K164+K165-K167</f>
        <v>-198600</v>
      </c>
    </row>
    <row r="170" spans="1:11" x14ac:dyDescent="0.25">
      <c r="B170" s="51"/>
      <c r="C170" s="51"/>
      <c r="D170" s="51"/>
      <c r="E170" s="51"/>
      <c r="F170" s="51"/>
      <c r="G170" s="58"/>
      <c r="H170" s="51"/>
      <c r="I170" s="51"/>
      <c r="J170" s="51"/>
    </row>
    <row r="171" spans="1:11" hidden="1" x14ac:dyDescent="0.25">
      <c r="A171" s="55" t="s">
        <v>3453</v>
      </c>
      <c r="B171" s="51">
        <v>0</v>
      </c>
      <c r="C171" s="51">
        <v>0</v>
      </c>
      <c r="D171" s="51">
        <v>0</v>
      </c>
      <c r="E171" s="51">
        <v>0</v>
      </c>
      <c r="F171" s="51">
        <v>0</v>
      </c>
      <c r="G171" s="51"/>
      <c r="H171" s="51"/>
      <c r="I171" s="51">
        <v>0</v>
      </c>
      <c r="J171" s="51">
        <v>0</v>
      </c>
      <c r="K171" s="52">
        <f>I171+J171</f>
        <v>0</v>
      </c>
    </row>
    <row r="172" spans="1:11" hidden="1" x14ac:dyDescent="0.25">
      <c r="B172" s="51"/>
      <c r="C172" s="51"/>
      <c r="D172" s="51"/>
      <c r="E172" s="51"/>
      <c r="F172" s="51"/>
      <c r="G172" s="51"/>
      <c r="H172" s="51"/>
    </row>
    <row r="173" spans="1:11" hidden="1" x14ac:dyDescent="0.25">
      <c r="A173" s="33" t="s">
        <v>3454</v>
      </c>
      <c r="B173" s="51">
        <f t="shared" ref="B173:K173" si="24">+B160+B162+B164-B167+B165+B171</f>
        <v>926836</v>
      </c>
      <c r="C173" s="51">
        <f t="shared" si="24"/>
        <v>1044925</v>
      </c>
      <c r="D173" s="51">
        <f t="shared" si="24"/>
        <v>1089793</v>
      </c>
      <c r="E173" s="51">
        <f t="shared" si="24"/>
        <v>1238243</v>
      </c>
      <c r="F173" s="51">
        <f t="shared" si="24"/>
        <v>120411.55000000002</v>
      </c>
      <c r="G173" s="51">
        <f t="shared" si="24"/>
        <v>1204977</v>
      </c>
      <c r="H173" s="51"/>
      <c r="I173" s="51">
        <f t="shared" si="24"/>
        <v>61750</v>
      </c>
      <c r="J173" s="51">
        <f t="shared" si="24"/>
        <v>-260350</v>
      </c>
      <c r="K173" s="51">
        <f t="shared" si="24"/>
        <v>1006377</v>
      </c>
    </row>
    <row r="174" spans="1:11" hidden="1" x14ac:dyDescent="0.25">
      <c r="B174" s="51"/>
      <c r="C174" s="51"/>
      <c r="D174" s="51"/>
      <c r="E174" s="51"/>
      <c r="F174" s="51"/>
      <c r="G174" s="51"/>
      <c r="H174" s="51"/>
    </row>
    <row r="175" spans="1:11" x14ac:dyDescent="0.25">
      <c r="B175" s="51"/>
      <c r="C175" s="51"/>
      <c r="D175" s="51"/>
      <c r="E175" s="51"/>
      <c r="F175" s="51"/>
      <c r="G175" s="51"/>
      <c r="H175" s="51"/>
    </row>
    <row r="176" spans="1:11" x14ac:dyDescent="0.25">
      <c r="A176" s="49" t="s">
        <v>3500</v>
      </c>
      <c r="B176" s="51"/>
      <c r="C176" s="51"/>
      <c r="D176" s="51"/>
      <c r="E176" s="51"/>
      <c r="F176" s="51"/>
      <c r="G176" s="51"/>
      <c r="H176" s="51"/>
    </row>
    <row r="177" spans="1:11" x14ac:dyDescent="0.25">
      <c r="A177" s="49"/>
      <c r="B177" s="51"/>
      <c r="C177" s="51"/>
      <c r="D177" s="51"/>
      <c r="E177" s="51"/>
      <c r="F177" s="51"/>
      <c r="G177" s="51"/>
      <c r="H177" s="51"/>
    </row>
    <row r="178" spans="1:11" hidden="1" x14ac:dyDescent="0.25">
      <c r="A178" s="33" t="s">
        <v>3420</v>
      </c>
      <c r="B178" s="51">
        <v>5143819</v>
      </c>
      <c r="C178" s="51">
        <v>4231090</v>
      </c>
      <c r="D178" s="51">
        <v>3891837</v>
      </c>
      <c r="E178" s="51">
        <v>30472794</v>
      </c>
      <c r="F178" s="51">
        <v>0</v>
      </c>
      <c r="G178" s="51">
        <v>30472794</v>
      </c>
      <c r="H178" s="51"/>
      <c r="I178" s="51">
        <v>0</v>
      </c>
      <c r="J178" s="51">
        <f>F196</f>
        <v>-5836259.6299999999</v>
      </c>
      <c r="K178" s="52">
        <f>G196</f>
        <v>23430294</v>
      </c>
    </row>
    <row r="179" spans="1:11" hidden="1" x14ac:dyDescent="0.25">
      <c r="B179" s="51"/>
      <c r="C179" s="51"/>
      <c r="D179" s="51"/>
      <c r="E179" s="51"/>
      <c r="F179" s="51"/>
      <c r="G179" s="51"/>
      <c r="H179" s="51"/>
    </row>
    <row r="180" spans="1:11" x14ac:dyDescent="0.25">
      <c r="A180" s="33" t="s">
        <v>3501</v>
      </c>
      <c r="B180" s="51">
        <v>0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/>
      <c r="I180" s="51">
        <v>0</v>
      </c>
      <c r="J180" s="51">
        <f t="shared" ref="J180:J190" si="25">H180+I180</f>
        <v>0</v>
      </c>
      <c r="K180" s="52">
        <f t="shared" ref="K180:K190" si="26">I180+J180</f>
        <v>0</v>
      </c>
    </row>
    <row r="181" spans="1:11" x14ac:dyDescent="0.25">
      <c r="A181" s="33" t="s">
        <v>3502</v>
      </c>
      <c r="B181" s="51">
        <f>'CIP Fund'!C44-('CIP Fund'!C39+'CIP Fund'!C38+'CIP Fund'!C34+'CIP Fund'!C32)</f>
        <v>20644</v>
      </c>
      <c r="C181" s="51">
        <f>'CIP Fund'!D44-('CIP Fund'!D39+'CIP Fund'!D38+'CIP Fund'!D34+'CIP Fund'!D32)</f>
        <v>57225</v>
      </c>
      <c r="D181" s="51">
        <f>'CIP Fund'!E44-('CIP Fund'!E39+'CIP Fund'!E38+'CIP Fund'!E34+'CIP Fund'!E32)</f>
        <v>26866328</v>
      </c>
      <c r="E181" s="51">
        <f>'CIP Fund'!F44-('CIP Fund'!F39+'CIP Fund'!F38+'CIP Fund'!F34+'CIP Fund'!F32)</f>
        <v>0</v>
      </c>
      <c r="F181" s="51">
        <f>'CIP Fund'!G44-('CIP Fund'!G39+'CIP Fund'!G38+'CIP Fund'!G34+'CIP Fund'!G32)</f>
        <v>873352.47</v>
      </c>
      <c r="G181" s="51">
        <f>'CIP Fund'!H44-('CIP Fund'!H39+'CIP Fund'!H38+'CIP Fund'!H34+'CIP Fund'!H32)</f>
        <v>1000000</v>
      </c>
      <c r="H181" s="51"/>
      <c r="I181" s="51">
        <f>'CIP Fund'!J44-('CIP Fund'!J39+'CIP Fund'!J38+'CIP Fund'!J34+'CIP Fund'!J32)</f>
        <v>0</v>
      </c>
      <c r="J181" s="51">
        <f>'CIP Fund'!K44-('CIP Fund'!K39+'CIP Fund'!K38+'CIP Fund'!K34+'CIP Fund'!K32)</f>
        <v>0</v>
      </c>
      <c r="K181" s="51">
        <f>'CIP Fund'!L44-('CIP Fund'!L39+'CIP Fund'!L38+'CIP Fund'!L34+'CIP Fund'!L32)</f>
        <v>0</v>
      </c>
    </row>
    <row r="182" spans="1:11" x14ac:dyDescent="0.25">
      <c r="A182" s="33" t="s">
        <v>3503</v>
      </c>
      <c r="B182" s="51">
        <v>0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/>
      <c r="I182" s="51">
        <v>0</v>
      </c>
      <c r="J182" s="51">
        <f t="shared" si="25"/>
        <v>0</v>
      </c>
      <c r="K182" s="52">
        <f t="shared" si="26"/>
        <v>0</v>
      </c>
    </row>
    <row r="183" spans="1:11" x14ac:dyDescent="0.25">
      <c r="A183" s="33" t="s">
        <v>3504</v>
      </c>
      <c r="B183" s="51">
        <f>'CIP Fund'!C32</f>
        <v>9500</v>
      </c>
      <c r="C183" s="51">
        <f>'CIP Fund'!D32</f>
        <v>0</v>
      </c>
      <c r="D183" s="51">
        <f>'CIP Fund'!E32</f>
        <v>0</v>
      </c>
      <c r="E183" s="51">
        <f>'CIP Fund'!F32</f>
        <v>0</v>
      </c>
      <c r="F183" s="51">
        <f>'CIP Fund'!G32</f>
        <v>0</v>
      </c>
      <c r="G183" s="51">
        <f>'CIP Fund'!H32</f>
        <v>0</v>
      </c>
      <c r="H183" s="51"/>
      <c r="I183" s="51">
        <f>'CIP Fund'!J32</f>
        <v>0</v>
      </c>
      <c r="J183" s="51">
        <f>'CIP Fund'!K32</f>
        <v>0</v>
      </c>
      <c r="K183" s="51">
        <f>'CIP Fund'!L32</f>
        <v>0</v>
      </c>
    </row>
    <row r="184" spans="1:11" x14ac:dyDescent="0.25">
      <c r="A184" s="33" t="s">
        <v>3505</v>
      </c>
      <c r="B184" s="51">
        <f>'CIP Fund'!C34</f>
        <v>9500</v>
      </c>
      <c r="C184" s="51">
        <f>'CIP Fund'!D34</f>
        <v>0</v>
      </c>
      <c r="D184" s="51">
        <f>'CIP Fund'!E34</f>
        <v>0</v>
      </c>
      <c r="E184" s="51">
        <f>'CIP Fund'!F34</f>
        <v>0</v>
      </c>
      <c r="F184" s="51">
        <f>'CIP Fund'!G34</f>
        <v>0</v>
      </c>
      <c r="G184" s="51">
        <f>'CIP Fund'!H34</f>
        <v>0</v>
      </c>
      <c r="H184" s="51"/>
      <c r="I184" s="51">
        <f>'CIP Fund'!J34</f>
        <v>0</v>
      </c>
      <c r="J184" s="51">
        <f>'CIP Fund'!K34</f>
        <v>0</v>
      </c>
      <c r="K184" s="51">
        <f>'CIP Fund'!L34</f>
        <v>0</v>
      </c>
    </row>
    <row r="185" spans="1:11" x14ac:dyDescent="0.25">
      <c r="A185" s="33" t="s">
        <v>3506</v>
      </c>
      <c r="B185" s="51">
        <v>0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/>
      <c r="I185" s="51">
        <v>0</v>
      </c>
      <c r="J185" s="51">
        <f t="shared" si="25"/>
        <v>0</v>
      </c>
      <c r="K185" s="52">
        <f t="shared" si="26"/>
        <v>0</v>
      </c>
    </row>
    <row r="186" spans="1:11" x14ac:dyDescent="0.25">
      <c r="A186" s="33" t="s">
        <v>3507</v>
      </c>
      <c r="B186" s="51">
        <f>'CIP Fund'!C38</f>
        <v>407000</v>
      </c>
      <c r="C186" s="51">
        <f>'CIP Fund'!D38</f>
        <v>0</v>
      </c>
      <c r="D186" s="51">
        <f>'CIP Fund'!E38</f>
        <v>0</v>
      </c>
      <c r="E186" s="51">
        <f>'CIP Fund'!F38</f>
        <v>0</v>
      </c>
      <c r="F186" s="51">
        <f>'CIP Fund'!G38</f>
        <v>0</v>
      </c>
      <c r="G186" s="51">
        <f>'CIP Fund'!H38</f>
        <v>0</v>
      </c>
      <c r="H186" s="51"/>
      <c r="I186" s="51">
        <f>'CIP Fund'!J38</f>
        <v>0</v>
      </c>
      <c r="J186" s="51">
        <f>'CIP Fund'!K38</f>
        <v>0</v>
      </c>
      <c r="K186" s="51">
        <f>'CIP Fund'!L38</f>
        <v>0</v>
      </c>
    </row>
    <row r="187" spans="1:11" x14ac:dyDescent="0.25">
      <c r="A187" s="33" t="s">
        <v>3508</v>
      </c>
      <c r="B187" s="51">
        <f>'CIP Fund'!C39</f>
        <v>217000</v>
      </c>
      <c r="C187" s="51">
        <f>'CIP Fund'!D39</f>
        <v>0</v>
      </c>
      <c r="D187" s="51">
        <f>'CIP Fund'!E39</f>
        <v>0</v>
      </c>
      <c r="E187" s="51">
        <f>'CIP Fund'!F39</f>
        <v>0</v>
      </c>
      <c r="F187" s="51">
        <f>'CIP Fund'!G39</f>
        <v>0</v>
      </c>
      <c r="G187" s="51">
        <f>'CIP Fund'!H39</f>
        <v>0</v>
      </c>
      <c r="H187" s="51"/>
      <c r="I187" s="51">
        <f>'CIP Fund'!J39</f>
        <v>0</v>
      </c>
      <c r="J187" s="51">
        <f>'CIP Fund'!K39</f>
        <v>0</v>
      </c>
      <c r="K187" s="51">
        <f>'CIP Fund'!L39</f>
        <v>0</v>
      </c>
    </row>
    <row r="188" spans="1:11" x14ac:dyDescent="0.25">
      <c r="A188" s="33" t="s">
        <v>3509</v>
      </c>
      <c r="B188" s="51">
        <v>0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/>
      <c r="I188" s="51">
        <v>9552500</v>
      </c>
      <c r="J188" s="51">
        <v>0</v>
      </c>
      <c r="K188" s="52">
        <f t="shared" si="26"/>
        <v>9552500</v>
      </c>
    </row>
    <row r="189" spans="1:11" x14ac:dyDescent="0.25">
      <c r="A189" s="33" t="s">
        <v>3457</v>
      </c>
      <c r="B189" s="51">
        <f>'CIP Fund'!C93</f>
        <v>1576407</v>
      </c>
      <c r="C189" s="51">
        <f>'CIP Fund'!D93</f>
        <v>396478</v>
      </c>
      <c r="D189" s="51">
        <f>'CIP Fund'!E93</f>
        <v>285371</v>
      </c>
      <c r="E189" s="51">
        <f>'CIP Fund'!F93</f>
        <v>8100000</v>
      </c>
      <c r="F189" s="51">
        <f>'CIP Fund'!G93</f>
        <v>6709612.0999999996</v>
      </c>
      <c r="G189" s="51">
        <f>'CIP Fund'!H93</f>
        <v>8042500</v>
      </c>
      <c r="H189" s="51"/>
      <c r="I189" s="51">
        <f>'CIP Fund'!J93</f>
        <v>9552500</v>
      </c>
      <c r="J189" s="51">
        <f>'CIP Fund'!K93</f>
        <v>0</v>
      </c>
      <c r="K189" s="51">
        <f>'CIP Fund'!L93</f>
        <v>9552500</v>
      </c>
    </row>
    <row r="190" spans="1:11" hidden="1" x14ac:dyDescent="0.25">
      <c r="A190" s="33" t="s">
        <v>3510</v>
      </c>
      <c r="B190" s="51">
        <v>0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/>
      <c r="I190" s="48">
        <v>0</v>
      </c>
      <c r="J190" s="51">
        <f t="shared" si="25"/>
        <v>0</v>
      </c>
      <c r="K190" s="52">
        <f t="shared" si="26"/>
        <v>0</v>
      </c>
    </row>
    <row r="191" spans="1:11" x14ac:dyDescent="0.25">
      <c r="B191" s="51"/>
      <c r="C191" s="51"/>
      <c r="D191" s="51"/>
      <c r="E191" s="51"/>
      <c r="F191" s="51"/>
      <c r="G191" s="51"/>
      <c r="H191" s="51"/>
    </row>
    <row r="192" spans="1:11" x14ac:dyDescent="0.25">
      <c r="A192" s="33" t="s">
        <v>3452</v>
      </c>
      <c r="B192" s="51">
        <f t="shared" ref="B192:K192" si="27">B180+B181-B189-B190+B188+B182+B183+B184+B186+B185+B187</f>
        <v>-912763</v>
      </c>
      <c r="C192" s="51">
        <f t="shared" si="27"/>
        <v>-339253</v>
      </c>
      <c r="D192" s="51">
        <f t="shared" si="27"/>
        <v>26580957</v>
      </c>
      <c r="E192" s="51">
        <f t="shared" si="27"/>
        <v>-8100000</v>
      </c>
      <c r="F192" s="51">
        <f t="shared" si="27"/>
        <v>-5836259.6299999999</v>
      </c>
      <c r="G192" s="51">
        <f t="shared" si="27"/>
        <v>-7042500</v>
      </c>
      <c r="H192" s="51"/>
      <c r="I192" s="51">
        <f t="shared" si="27"/>
        <v>0</v>
      </c>
      <c r="J192" s="51">
        <f t="shared" si="27"/>
        <v>0</v>
      </c>
      <c r="K192" s="51">
        <f t="shared" si="27"/>
        <v>0</v>
      </c>
    </row>
    <row r="193" spans="1:11" x14ac:dyDescent="0.25">
      <c r="B193" s="51"/>
      <c r="C193" s="51"/>
      <c r="D193" s="51"/>
      <c r="E193" s="51"/>
      <c r="F193" s="51"/>
      <c r="G193" s="51"/>
      <c r="H193" s="51"/>
      <c r="I193" s="51"/>
      <c r="J193" s="51"/>
    </row>
    <row r="194" spans="1:11" hidden="1" x14ac:dyDescent="0.25">
      <c r="A194" s="55" t="s">
        <v>3453</v>
      </c>
      <c r="B194" s="57">
        <v>-2513249</v>
      </c>
      <c r="C194" s="57">
        <v>573476</v>
      </c>
      <c r="D194" s="57">
        <v>26580957</v>
      </c>
      <c r="E194" s="51">
        <v>0</v>
      </c>
      <c r="F194" s="51">
        <v>0</v>
      </c>
      <c r="G194" s="51"/>
      <c r="H194" s="51"/>
      <c r="I194" s="51">
        <v>0</v>
      </c>
      <c r="J194" s="51">
        <v>0</v>
      </c>
      <c r="K194" s="52">
        <f>I194+J194</f>
        <v>0</v>
      </c>
    </row>
    <row r="195" spans="1:11" hidden="1" x14ac:dyDescent="0.25">
      <c r="B195" s="51"/>
      <c r="C195" s="51"/>
      <c r="D195" s="51"/>
      <c r="E195" s="51"/>
      <c r="F195" s="51"/>
      <c r="G195" s="51"/>
      <c r="H195" s="51"/>
    </row>
    <row r="196" spans="1:11" hidden="1" x14ac:dyDescent="0.25">
      <c r="A196" s="33" t="s">
        <v>3454</v>
      </c>
      <c r="B196" s="51">
        <f t="shared" ref="B196:G196" si="28">+B178+B180+B181+B188-B189+B182+B183+B184+B186+B185-B190+B187+B194</f>
        <v>1717807</v>
      </c>
      <c r="C196" s="51">
        <f t="shared" si="28"/>
        <v>4465313</v>
      </c>
      <c r="D196" s="51">
        <f t="shared" si="28"/>
        <v>57053751</v>
      </c>
      <c r="E196" s="51">
        <f t="shared" si="28"/>
        <v>22372794</v>
      </c>
      <c r="F196" s="51">
        <f t="shared" si="28"/>
        <v>-5836259.6299999999</v>
      </c>
      <c r="G196" s="51">
        <f t="shared" si="28"/>
        <v>23430294</v>
      </c>
      <c r="H196" s="51"/>
      <c r="I196" s="51">
        <f>+I178+I180+I181+I188-I189+I182+I183+I184+I186+I185-I190+I187+I194</f>
        <v>0</v>
      </c>
      <c r="J196" s="51">
        <f>+J178+J180+J181+J188-J189+J182+J183+J184+J186+J185-J190+J187+J194</f>
        <v>-5836259.6299999999</v>
      </c>
      <c r="K196" s="51">
        <f>+K178+K180+K181+K188-K189+K182+K183+K184+K186+K185-K190+K187+K194</f>
        <v>23430294</v>
      </c>
    </row>
    <row r="197" spans="1:11" hidden="1" x14ac:dyDescent="0.25">
      <c r="B197" s="51"/>
      <c r="C197" s="51"/>
      <c r="D197" s="51"/>
      <c r="E197" s="51"/>
      <c r="F197" s="51"/>
      <c r="G197" s="51"/>
      <c r="H197" s="51"/>
    </row>
    <row r="198" spans="1:11" x14ac:dyDescent="0.25">
      <c r="B198" s="51"/>
      <c r="C198" s="51"/>
      <c r="D198" s="51"/>
      <c r="E198" s="51"/>
      <c r="F198" s="51"/>
      <c r="G198" s="51"/>
      <c r="H198" s="51"/>
    </row>
    <row r="199" spans="1:11" x14ac:dyDescent="0.25">
      <c r="A199" s="49" t="s">
        <v>3511</v>
      </c>
      <c r="B199" s="51"/>
      <c r="C199" s="51"/>
      <c r="D199" s="51"/>
      <c r="E199" s="51"/>
      <c r="F199" s="51"/>
      <c r="G199" s="51"/>
      <c r="H199" s="51"/>
    </row>
    <row r="200" spans="1:11" x14ac:dyDescent="0.25">
      <c r="A200" s="49"/>
      <c r="B200" s="51"/>
      <c r="C200" s="51"/>
      <c r="D200" s="51"/>
      <c r="E200" s="51"/>
      <c r="F200" s="51"/>
      <c r="G200" s="51"/>
      <c r="H200" s="51"/>
    </row>
    <row r="201" spans="1:11" hidden="1" x14ac:dyDescent="0.25">
      <c r="A201" s="33" t="s">
        <v>3420</v>
      </c>
      <c r="B201" s="51">
        <v>7518078</v>
      </c>
      <c r="C201" s="51">
        <v>6930793</v>
      </c>
      <c r="D201" s="51">
        <v>8528568.4100000001</v>
      </c>
      <c r="E201" s="51">
        <v>9671250.4800000004</v>
      </c>
      <c r="F201" s="51"/>
      <c r="G201" s="51">
        <v>9671250.4800000004</v>
      </c>
      <c r="H201" s="51"/>
      <c r="I201" s="51">
        <v>0</v>
      </c>
      <c r="J201" s="51"/>
      <c r="K201" s="52">
        <f>G221</f>
        <v>0</v>
      </c>
    </row>
    <row r="202" spans="1:11" hidden="1" x14ac:dyDescent="0.25">
      <c r="B202" s="51"/>
      <c r="C202" s="51"/>
      <c r="D202" s="51"/>
      <c r="E202" s="51"/>
      <c r="F202" s="51"/>
      <c r="G202" s="51"/>
      <c r="H202" s="51"/>
    </row>
    <row r="203" spans="1:11" x14ac:dyDescent="0.25">
      <c r="A203" s="33" t="s">
        <v>3512</v>
      </c>
      <c r="B203" s="51"/>
      <c r="C203" s="51"/>
      <c r="D203" s="51"/>
      <c r="E203" s="51"/>
      <c r="F203" s="51"/>
      <c r="G203" s="51"/>
      <c r="H203" s="51"/>
    </row>
    <row r="204" spans="1:11" x14ac:dyDescent="0.25">
      <c r="A204" s="33" t="s">
        <v>3513</v>
      </c>
      <c r="B204" s="51">
        <f>'Impact Fee Fund'!C23</f>
        <v>1255284</v>
      </c>
      <c r="C204" s="51">
        <f>'Impact Fee Fund'!D23</f>
        <v>666434</v>
      </c>
      <c r="D204" s="51">
        <f>'Impact Fee Fund'!E23</f>
        <v>487554</v>
      </c>
      <c r="E204" s="51">
        <f>'Impact Fee Fund'!F23</f>
        <v>353203</v>
      </c>
      <c r="F204" s="51">
        <f>'Impact Fee Fund'!G23</f>
        <v>271908</v>
      </c>
      <c r="G204" s="51">
        <f>'Impact Fee Fund'!H23</f>
        <v>352000</v>
      </c>
      <c r="H204" s="51"/>
      <c r="I204" s="51">
        <f>'Impact Fee Fund'!J23</f>
        <v>345000</v>
      </c>
      <c r="J204" s="51">
        <f>'Impact Fee Fund'!K23</f>
        <v>0</v>
      </c>
      <c r="K204" s="51">
        <f>'Impact Fee Fund'!L23</f>
        <v>345000</v>
      </c>
    </row>
    <row r="205" spans="1:11" x14ac:dyDescent="0.25">
      <c r="A205" s="33" t="s">
        <v>3514</v>
      </c>
      <c r="B205" s="51">
        <f>'Impact Fee Fund'!C32</f>
        <v>968325</v>
      </c>
      <c r="C205" s="51">
        <f>'Impact Fee Fund'!D32</f>
        <v>584700</v>
      </c>
      <c r="D205" s="51">
        <f>'Impact Fee Fund'!E32</f>
        <v>404100</v>
      </c>
      <c r="E205" s="51">
        <f>'Impact Fee Fund'!F32</f>
        <v>308470</v>
      </c>
      <c r="F205" s="51">
        <f>'Impact Fee Fund'!G32</f>
        <v>242180</v>
      </c>
      <c r="G205" s="51">
        <f>'Impact Fee Fund'!H32</f>
        <v>319000</v>
      </c>
      <c r="H205" s="51"/>
      <c r="I205" s="51">
        <f>'Impact Fee Fund'!J32</f>
        <v>295000</v>
      </c>
      <c r="J205" s="51">
        <f>'Impact Fee Fund'!K32</f>
        <v>0</v>
      </c>
      <c r="K205" s="51">
        <f>'Impact Fee Fund'!L32</f>
        <v>295000</v>
      </c>
    </row>
    <row r="206" spans="1:11" x14ac:dyDescent="0.25">
      <c r="A206" s="33" t="s">
        <v>3515</v>
      </c>
      <c r="B206" s="51">
        <f>'Impact Fee Fund'!C14</f>
        <v>78201</v>
      </c>
      <c r="C206" s="51">
        <f>'Impact Fee Fund'!D14</f>
        <v>369812</v>
      </c>
      <c r="D206" s="51">
        <f>'Impact Fee Fund'!E14</f>
        <v>494705</v>
      </c>
      <c r="E206" s="51">
        <f>'Impact Fee Fund'!F14</f>
        <v>366083</v>
      </c>
      <c r="F206" s="51">
        <f>'Impact Fee Fund'!G14</f>
        <v>345008.36</v>
      </c>
      <c r="G206" s="51">
        <f>'Impact Fee Fund'!H14</f>
        <v>430000</v>
      </c>
      <c r="H206" s="51"/>
      <c r="I206" s="51">
        <f>'Impact Fee Fund'!J14</f>
        <v>415000</v>
      </c>
      <c r="J206" s="51">
        <f>'Impact Fee Fund'!K14</f>
        <v>0</v>
      </c>
      <c r="K206" s="51">
        <f>'Impact Fee Fund'!L14</f>
        <v>415000</v>
      </c>
    </row>
    <row r="207" spans="1:11" x14ac:dyDescent="0.25">
      <c r="A207" s="33" t="s">
        <v>3516</v>
      </c>
      <c r="B207" s="51">
        <f>'Impact Fee Fund'!C19</f>
        <v>0</v>
      </c>
      <c r="C207" s="51">
        <f>'Impact Fee Fund'!D19</f>
        <v>0</v>
      </c>
      <c r="D207" s="51">
        <f>'Impact Fee Fund'!E19</f>
        <v>0</v>
      </c>
      <c r="E207" s="51">
        <f>'Impact Fee Fund'!F19</f>
        <v>0</v>
      </c>
      <c r="F207" s="51">
        <f>'Impact Fee Fund'!G19</f>
        <v>0</v>
      </c>
      <c r="G207" s="51">
        <f>'Impact Fee Fund'!H19</f>
        <v>0</v>
      </c>
      <c r="H207" s="51"/>
      <c r="I207" s="51">
        <f>'Impact Fee Fund'!J19</f>
        <v>0</v>
      </c>
      <c r="J207" s="51">
        <f>'Impact Fee Fund'!K19</f>
        <v>0</v>
      </c>
      <c r="K207" s="51">
        <f>'Impact Fee Fund'!L19</f>
        <v>0</v>
      </c>
    </row>
    <row r="208" spans="1:11" x14ac:dyDescent="0.25">
      <c r="A208" s="33" t="s">
        <v>3517</v>
      </c>
      <c r="B208" s="51">
        <f>'Impact Fee Fund'!C28</f>
        <v>0</v>
      </c>
      <c r="C208" s="51">
        <f>'Impact Fee Fund'!D28</f>
        <v>0</v>
      </c>
      <c r="D208" s="51">
        <f>'Impact Fee Fund'!E28</f>
        <v>0</v>
      </c>
      <c r="E208" s="51">
        <f>'Impact Fee Fund'!F28</f>
        <v>0</v>
      </c>
      <c r="F208" s="51">
        <f>'Impact Fee Fund'!G28</f>
        <v>0</v>
      </c>
      <c r="G208" s="51">
        <f>'Impact Fee Fund'!H28</f>
        <v>0</v>
      </c>
      <c r="H208" s="51"/>
      <c r="I208" s="51">
        <f>'Impact Fee Fund'!J28</f>
        <v>0</v>
      </c>
      <c r="J208" s="51">
        <f>'Impact Fee Fund'!K28</f>
        <v>0</v>
      </c>
      <c r="K208" s="51">
        <f>'Impact Fee Fund'!L28</f>
        <v>0</v>
      </c>
    </row>
    <row r="209" spans="1:11" x14ac:dyDescent="0.25">
      <c r="A209" s="33" t="s">
        <v>3518</v>
      </c>
      <c r="B209" s="51">
        <v>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/>
      <c r="I209" s="48">
        <v>0</v>
      </c>
      <c r="J209" s="51">
        <v>0</v>
      </c>
      <c r="K209" s="63">
        <f>I209+J209</f>
        <v>0</v>
      </c>
    </row>
    <row r="210" spans="1:11" x14ac:dyDescent="0.25">
      <c r="A210" s="33" t="s">
        <v>3519</v>
      </c>
      <c r="B210" s="51">
        <v>0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/>
      <c r="I210" s="48">
        <v>0</v>
      </c>
      <c r="J210" s="51">
        <v>0</v>
      </c>
      <c r="K210" s="63">
        <f>I210+J210</f>
        <v>0</v>
      </c>
    </row>
    <row r="211" spans="1:11" x14ac:dyDescent="0.25">
      <c r="A211" s="33" t="s">
        <v>3520</v>
      </c>
      <c r="B211" s="51">
        <v>0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/>
      <c r="I211" s="48">
        <v>0</v>
      </c>
      <c r="J211" s="51">
        <v>0</v>
      </c>
      <c r="K211" s="63">
        <f>I211+J211</f>
        <v>0</v>
      </c>
    </row>
    <row r="212" spans="1:11" x14ac:dyDescent="0.25">
      <c r="A212" s="33" t="s">
        <v>3446</v>
      </c>
      <c r="B212" s="51">
        <v>0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/>
      <c r="I212" s="48">
        <v>0</v>
      </c>
      <c r="J212" s="51">
        <v>0</v>
      </c>
      <c r="K212" s="63">
        <f>I212+J212</f>
        <v>0</v>
      </c>
    </row>
    <row r="213" spans="1:11" x14ac:dyDescent="0.25">
      <c r="A213" s="33" t="s">
        <v>3519</v>
      </c>
      <c r="B213" s="51">
        <f>'Impact Fee Fund'!C70</f>
        <v>1686500</v>
      </c>
      <c r="C213" s="51">
        <f>'Impact Fee Fund'!D70</f>
        <v>0</v>
      </c>
      <c r="D213" s="51">
        <f>'Impact Fee Fund'!E70</f>
        <v>0</v>
      </c>
      <c r="E213" s="51">
        <f>'Impact Fee Fund'!F70</f>
        <v>0</v>
      </c>
      <c r="F213" s="51">
        <f>'Impact Fee Fund'!G70</f>
        <v>0</v>
      </c>
      <c r="G213" s="51">
        <f>'Impact Fee Fund'!H70</f>
        <v>0</v>
      </c>
      <c r="H213" s="51"/>
      <c r="I213" s="51">
        <f>'Impact Fee Fund'!J70</f>
        <v>3000000</v>
      </c>
      <c r="J213" s="51">
        <f>'Impact Fee Fund'!K70</f>
        <v>0</v>
      </c>
      <c r="K213" s="51">
        <f>'Impact Fee Fund'!L70</f>
        <v>3000000</v>
      </c>
    </row>
    <row r="214" spans="1:11" x14ac:dyDescent="0.25">
      <c r="A214" s="33" t="s">
        <v>3520</v>
      </c>
      <c r="B214" s="51">
        <f>'Impact Fee Fund'!C94</f>
        <v>9500</v>
      </c>
      <c r="C214" s="51">
        <f>'Impact Fee Fund'!D94</f>
        <v>0</v>
      </c>
      <c r="D214" s="51">
        <f>'Impact Fee Fund'!E94</f>
        <v>0</v>
      </c>
      <c r="E214" s="51">
        <f>'Impact Fee Fund'!F94</f>
        <v>0</v>
      </c>
      <c r="F214" s="51">
        <f>'Impact Fee Fund'!G94</f>
        <v>0</v>
      </c>
      <c r="G214" s="51">
        <f>'Impact Fee Fund'!H94</f>
        <v>0</v>
      </c>
      <c r="H214" s="51"/>
      <c r="I214" s="51">
        <f>'Impact Fee Fund'!J94</f>
        <v>0</v>
      </c>
      <c r="J214" s="51">
        <f>'Impact Fee Fund'!K94</f>
        <v>0</v>
      </c>
      <c r="K214" s="51">
        <f>'Impact Fee Fund'!L94</f>
        <v>0</v>
      </c>
    </row>
    <row r="215" spans="1:11" x14ac:dyDescent="0.25">
      <c r="A215" s="33" t="s">
        <v>3457</v>
      </c>
      <c r="B215" s="51">
        <f>('Impact Fee Fund'!C117)-('Impact Fee Fund'!C94+'Impact Fee Fund'!C70)</f>
        <v>1179821</v>
      </c>
      <c r="C215" s="51">
        <f>('Impact Fee Fund'!D117)-('Impact Fee Fund'!D94+'Impact Fee Fund'!D70)</f>
        <v>80000</v>
      </c>
      <c r="D215" s="51">
        <f>('Impact Fee Fund'!E117)-('Impact Fee Fund'!E94+'Impact Fee Fund'!E70)</f>
        <v>80000</v>
      </c>
      <c r="E215" s="51">
        <f>('Impact Fee Fund'!F117)-('Impact Fee Fund'!F94+'Impact Fee Fund'!F70)</f>
        <v>80000</v>
      </c>
      <c r="F215" s="51">
        <f>('Impact Fee Fund'!G117)-('Impact Fee Fund'!G94+'Impact Fee Fund'!G70)</f>
        <v>80000</v>
      </c>
      <c r="G215" s="51">
        <f>('Impact Fee Fund'!H117)-('Impact Fee Fund'!H94+'Impact Fee Fund'!H70)</f>
        <v>80000</v>
      </c>
      <c r="H215" s="51"/>
      <c r="I215" s="51">
        <f>('Impact Fee Fund'!J117)-('Impact Fee Fund'!J94+'Impact Fee Fund'!J70)</f>
        <v>80000</v>
      </c>
      <c r="J215" s="51">
        <f>('Impact Fee Fund'!K117)-('Impact Fee Fund'!K94+'Impact Fee Fund'!K70)</f>
        <v>0</v>
      </c>
      <c r="K215" s="51">
        <f>('Impact Fee Fund'!L117)-('Impact Fee Fund'!L94+'Impact Fee Fund'!L70)</f>
        <v>80000</v>
      </c>
    </row>
    <row r="216" spans="1:11" x14ac:dyDescent="0.25">
      <c r="B216" s="51"/>
      <c r="C216" s="51"/>
      <c r="D216" s="51"/>
      <c r="E216" s="51"/>
      <c r="F216" s="51"/>
      <c r="G216" s="51"/>
      <c r="H216" s="51"/>
    </row>
    <row r="217" spans="1:11" x14ac:dyDescent="0.25">
      <c r="A217" s="33" t="s">
        <v>3452</v>
      </c>
      <c r="B217" s="51">
        <f t="shared" ref="B217:G217" si="29">B204+B205+B206-B213-B214-B215</f>
        <v>-574011</v>
      </c>
      <c r="C217" s="51">
        <f t="shared" si="29"/>
        <v>1540946</v>
      </c>
      <c r="D217" s="51">
        <f t="shared" si="29"/>
        <v>1306359</v>
      </c>
      <c r="E217" s="51">
        <f t="shared" si="29"/>
        <v>947756</v>
      </c>
      <c r="F217" s="51">
        <f t="shared" si="29"/>
        <v>779096.36</v>
      </c>
      <c r="G217" s="51">
        <f t="shared" si="29"/>
        <v>1021000</v>
      </c>
      <c r="H217" s="51"/>
      <c r="I217" s="51">
        <f>I204+I205+I206-I213-I214-I215</f>
        <v>-2025000</v>
      </c>
      <c r="J217" s="51">
        <f>J204+J205+J206-J213-J214-J215</f>
        <v>0</v>
      </c>
      <c r="K217" s="51">
        <f>K204+K205+K206-K213-K214-K215</f>
        <v>-2025000</v>
      </c>
    </row>
    <row r="218" spans="1:11" x14ac:dyDescent="0.25">
      <c r="B218" s="51"/>
      <c r="C218" s="51"/>
      <c r="D218" s="51"/>
      <c r="E218" s="51"/>
      <c r="F218" s="51"/>
      <c r="G218" s="51"/>
      <c r="H218" s="51"/>
      <c r="I218" s="51"/>
      <c r="J218" s="51"/>
    </row>
    <row r="219" spans="1:11" hidden="1" x14ac:dyDescent="0.25">
      <c r="A219" s="55" t="s">
        <v>3453</v>
      </c>
      <c r="B219" s="51">
        <v>-13274</v>
      </c>
      <c r="C219" s="51">
        <v>56829</v>
      </c>
      <c r="D219" s="51">
        <v>-163677</v>
      </c>
      <c r="E219" s="51">
        <v>0</v>
      </c>
      <c r="F219" s="51">
        <v>0</v>
      </c>
      <c r="G219" s="51"/>
      <c r="H219" s="51"/>
      <c r="I219" s="51">
        <v>0</v>
      </c>
      <c r="J219" s="51">
        <v>0</v>
      </c>
      <c r="K219" s="52">
        <f>I219+J219</f>
        <v>0</v>
      </c>
    </row>
    <row r="220" spans="1:11" hidden="1" x14ac:dyDescent="0.25">
      <c r="B220" s="51"/>
      <c r="C220" s="51"/>
      <c r="D220" s="51"/>
      <c r="E220" s="51"/>
      <c r="F220" s="51"/>
      <c r="G220" s="51"/>
      <c r="H220" s="51"/>
    </row>
    <row r="221" spans="1:11" hidden="1" x14ac:dyDescent="0.25">
      <c r="A221" s="33" t="s">
        <v>3454</v>
      </c>
      <c r="B221" s="51">
        <f t="shared" ref="B221:F221" si="30">+B201+B204+B205+B206-B209-B213-B214-B215+B219+B207+B208</f>
        <v>6930793</v>
      </c>
      <c r="C221" s="51">
        <f t="shared" si="30"/>
        <v>8528568</v>
      </c>
      <c r="D221" s="51">
        <f t="shared" si="30"/>
        <v>9671250.4100000001</v>
      </c>
      <c r="E221" s="51">
        <f t="shared" si="30"/>
        <v>10619006.48</v>
      </c>
      <c r="F221" s="51">
        <f t="shared" si="30"/>
        <v>779096.36</v>
      </c>
      <c r="G221" s="51"/>
      <c r="H221" s="51"/>
      <c r="I221" s="51">
        <f>+I201+I204+I205+I206-I209-I213-I214-I215+I219+I207+I208</f>
        <v>-2025000</v>
      </c>
      <c r="J221" s="51">
        <f>+J201+J204+J205+J206-J209-J213-J214-J215+J219+J207+J208</f>
        <v>0</v>
      </c>
    </row>
    <row r="222" spans="1:11" hidden="1" x14ac:dyDescent="0.25">
      <c r="B222" s="51"/>
      <c r="C222" s="51"/>
      <c r="D222" s="51"/>
      <c r="E222" s="51"/>
      <c r="F222" s="51"/>
      <c r="G222" s="51"/>
      <c r="H222" s="51"/>
    </row>
    <row r="223" spans="1:11" x14ac:dyDescent="0.25">
      <c r="B223" s="51"/>
      <c r="C223" s="51"/>
      <c r="D223" s="51"/>
      <c r="E223" s="51"/>
      <c r="F223" s="51"/>
      <c r="G223" s="51"/>
      <c r="H223" s="51"/>
    </row>
    <row r="224" spans="1:11" x14ac:dyDescent="0.25">
      <c r="A224" s="49" t="s">
        <v>3521</v>
      </c>
      <c r="B224" s="51"/>
      <c r="C224" s="51"/>
      <c r="D224" s="51"/>
      <c r="E224" s="51"/>
      <c r="F224" s="51"/>
      <c r="G224" s="51"/>
      <c r="H224" s="51"/>
    </row>
    <row r="225" spans="1:11" x14ac:dyDescent="0.25">
      <c r="A225" s="49"/>
      <c r="B225" s="51"/>
      <c r="C225" s="51"/>
      <c r="D225" s="51"/>
      <c r="E225" s="51"/>
      <c r="F225" s="51"/>
      <c r="G225" s="51"/>
      <c r="H225" s="51"/>
    </row>
    <row r="226" spans="1:11" hidden="1" x14ac:dyDescent="0.25">
      <c r="A226" s="33" t="s">
        <v>3420</v>
      </c>
      <c r="B226" s="51">
        <v>437152</v>
      </c>
      <c r="C226" s="51">
        <v>459708</v>
      </c>
      <c r="D226" s="51">
        <v>585610</v>
      </c>
      <c r="E226" s="51">
        <v>692764</v>
      </c>
      <c r="F226" s="51">
        <v>0</v>
      </c>
      <c r="G226" s="51">
        <v>692764</v>
      </c>
      <c r="H226" s="51"/>
      <c r="I226" s="51">
        <v>0</v>
      </c>
      <c r="J226" s="51">
        <v>0</v>
      </c>
      <c r="K226" s="52">
        <f>G246</f>
        <v>683992</v>
      </c>
    </row>
    <row r="227" spans="1:11" hidden="1" x14ac:dyDescent="0.25">
      <c r="B227" s="51"/>
      <c r="C227" s="51"/>
      <c r="D227" s="51"/>
      <c r="E227" s="51"/>
      <c r="F227" s="51"/>
      <c r="G227" s="51"/>
      <c r="H227" s="51"/>
    </row>
    <row r="228" spans="1:11" x14ac:dyDescent="0.25">
      <c r="A228" s="33" t="s">
        <v>3421</v>
      </c>
      <c r="G228" s="51"/>
    </row>
    <row r="229" spans="1:11" x14ac:dyDescent="0.25">
      <c r="A229" s="33" t="s">
        <v>3522</v>
      </c>
      <c r="B229" s="51">
        <f>'Debt Service'!C42</f>
        <v>2695932</v>
      </c>
      <c r="C229" s="51">
        <f>'Debt Service'!D42</f>
        <v>2764673</v>
      </c>
      <c r="D229" s="51">
        <f>'Debt Service'!E42</f>
        <v>2727742</v>
      </c>
      <c r="E229" s="51">
        <f>'Debt Service'!F42</f>
        <v>4493771</v>
      </c>
      <c r="F229" s="51">
        <f>'Debt Service'!G42</f>
        <v>4471029.42</v>
      </c>
      <c r="G229" s="58">
        <f>'Debt Service'!H42</f>
        <v>4450000</v>
      </c>
      <c r="H229" s="51"/>
      <c r="I229" s="51">
        <f>'Debt Service'!J42</f>
        <v>4335281</v>
      </c>
      <c r="J229" s="51">
        <f>'Debt Service'!K42</f>
        <v>0</v>
      </c>
      <c r="K229" s="51">
        <f>'Debt Service'!L42</f>
        <v>4335281</v>
      </c>
    </row>
    <row r="230" spans="1:11" x14ac:dyDescent="0.25">
      <c r="A230" s="33" t="s">
        <v>3523</v>
      </c>
      <c r="B230" s="51">
        <v>0</v>
      </c>
      <c r="C230" s="51">
        <v>0</v>
      </c>
      <c r="D230" s="51">
        <v>0</v>
      </c>
      <c r="E230" s="51">
        <v>0</v>
      </c>
      <c r="F230" s="51">
        <v>0</v>
      </c>
      <c r="G230" s="58">
        <v>0</v>
      </c>
      <c r="H230" s="51"/>
      <c r="I230" s="51">
        <v>0</v>
      </c>
      <c r="J230" s="51">
        <v>0</v>
      </c>
      <c r="K230" s="52">
        <v>0</v>
      </c>
    </row>
    <row r="231" spans="1:11" x14ac:dyDescent="0.25">
      <c r="A231" s="33" t="s">
        <v>3524</v>
      </c>
      <c r="B231" s="51">
        <f>'Debt Service'!C27</f>
        <v>5903</v>
      </c>
      <c r="C231" s="51">
        <f>'Debt Service'!D27</f>
        <v>43585</v>
      </c>
      <c r="D231" s="51">
        <f>'Debt Service'!E27</f>
        <v>68084</v>
      </c>
      <c r="E231" s="51">
        <f>'Debt Service'!F27</f>
        <v>42377</v>
      </c>
      <c r="F231" s="51">
        <f>'Debt Service'!G27</f>
        <v>34742.46</v>
      </c>
      <c r="G231" s="58">
        <f>'Debt Service'!H27</f>
        <v>43000</v>
      </c>
      <c r="H231" s="51"/>
      <c r="I231" s="58">
        <f>'Debt Service'!J27</f>
        <v>40000</v>
      </c>
      <c r="J231" s="58">
        <f>'Debt Service'!K27</f>
        <v>0</v>
      </c>
      <c r="K231" s="58">
        <f>'Debt Service'!L27</f>
        <v>40000</v>
      </c>
    </row>
    <row r="232" spans="1:11" x14ac:dyDescent="0.25">
      <c r="A232" s="33" t="s">
        <v>3525</v>
      </c>
      <c r="B232" s="51">
        <v>0</v>
      </c>
      <c r="C232" s="51">
        <v>0</v>
      </c>
      <c r="D232" s="51">
        <v>0</v>
      </c>
      <c r="E232" s="51">
        <v>0</v>
      </c>
      <c r="F232" s="51">
        <v>0</v>
      </c>
      <c r="G232" s="58">
        <v>0</v>
      </c>
      <c r="H232" s="51"/>
      <c r="I232" s="51">
        <v>0</v>
      </c>
      <c r="J232" s="51">
        <v>0</v>
      </c>
      <c r="K232" s="52">
        <v>0</v>
      </c>
    </row>
    <row r="233" spans="1:11" x14ac:dyDescent="0.25">
      <c r="A233" s="33" t="s">
        <v>3526</v>
      </c>
      <c r="B233" s="51">
        <v>0</v>
      </c>
      <c r="C233" s="51">
        <v>0</v>
      </c>
      <c r="D233" s="51">
        <v>0</v>
      </c>
      <c r="E233" s="51">
        <v>0</v>
      </c>
      <c r="F233" s="51">
        <v>0</v>
      </c>
      <c r="G233" s="58">
        <v>0</v>
      </c>
      <c r="H233" s="51"/>
      <c r="I233" s="48">
        <v>0</v>
      </c>
      <c r="J233" s="51">
        <v>0</v>
      </c>
      <c r="K233" s="52">
        <v>0</v>
      </c>
    </row>
    <row r="234" spans="1:11" x14ac:dyDescent="0.25">
      <c r="A234" s="33" t="s">
        <v>3527</v>
      </c>
      <c r="B234" s="51">
        <v>0</v>
      </c>
      <c r="C234" s="51">
        <v>0</v>
      </c>
      <c r="D234" s="51">
        <v>0</v>
      </c>
      <c r="E234" s="51">
        <v>0</v>
      </c>
      <c r="F234" s="51">
        <v>0</v>
      </c>
      <c r="G234" s="58">
        <v>0</v>
      </c>
      <c r="H234" s="51"/>
      <c r="I234" s="48">
        <v>0</v>
      </c>
      <c r="J234" s="51">
        <v>0</v>
      </c>
      <c r="K234" s="52">
        <v>0</v>
      </c>
    </row>
    <row r="235" spans="1:11" x14ac:dyDescent="0.25">
      <c r="A235" s="33" t="s">
        <v>3528</v>
      </c>
      <c r="B235" s="51">
        <v>0</v>
      </c>
      <c r="C235" s="51">
        <v>0</v>
      </c>
      <c r="D235" s="51">
        <v>0</v>
      </c>
      <c r="E235" s="51">
        <v>0</v>
      </c>
      <c r="F235" s="51">
        <v>0</v>
      </c>
      <c r="G235" s="58">
        <v>0</v>
      </c>
      <c r="H235" s="51"/>
      <c r="I235" s="48">
        <v>0</v>
      </c>
      <c r="J235" s="51">
        <v>0</v>
      </c>
      <c r="K235" s="52">
        <v>0</v>
      </c>
    </row>
    <row r="236" spans="1:11" x14ac:dyDescent="0.25">
      <c r="A236" s="33" t="s">
        <v>3529</v>
      </c>
      <c r="B236" s="51">
        <v>0</v>
      </c>
      <c r="C236" s="51">
        <v>0</v>
      </c>
      <c r="D236" s="51">
        <v>0</v>
      </c>
      <c r="E236" s="51">
        <v>0</v>
      </c>
      <c r="F236" s="51">
        <v>0</v>
      </c>
      <c r="G236" s="58">
        <v>0</v>
      </c>
      <c r="H236" s="51"/>
      <c r="I236" s="48">
        <v>0</v>
      </c>
      <c r="J236" s="51">
        <v>0</v>
      </c>
      <c r="K236" s="52">
        <v>0</v>
      </c>
    </row>
    <row r="237" spans="1:11" x14ac:dyDescent="0.25">
      <c r="A237" s="33" t="s">
        <v>3530</v>
      </c>
      <c r="B237" s="51">
        <v>0</v>
      </c>
      <c r="C237" s="51">
        <v>0</v>
      </c>
      <c r="D237" s="51">
        <v>0</v>
      </c>
      <c r="E237" s="51">
        <v>0</v>
      </c>
      <c r="F237" s="51">
        <v>0</v>
      </c>
      <c r="G237" s="58">
        <v>0</v>
      </c>
      <c r="H237" s="51"/>
      <c r="I237" s="48">
        <v>0</v>
      </c>
      <c r="J237" s="51">
        <v>0</v>
      </c>
      <c r="K237" s="52">
        <v>0</v>
      </c>
    </row>
    <row r="238" spans="1:11" x14ac:dyDescent="0.25">
      <c r="A238" s="33" t="s">
        <v>3531</v>
      </c>
      <c r="B238" s="51">
        <v>0</v>
      </c>
      <c r="C238" s="51">
        <v>0</v>
      </c>
      <c r="D238" s="51">
        <v>0</v>
      </c>
      <c r="E238" s="51">
        <v>0</v>
      </c>
      <c r="F238" s="51">
        <v>0</v>
      </c>
      <c r="G238" s="58">
        <v>0</v>
      </c>
      <c r="H238" s="51"/>
      <c r="I238" s="48">
        <v>0</v>
      </c>
      <c r="J238" s="51">
        <v>0</v>
      </c>
      <c r="K238" s="52">
        <v>0</v>
      </c>
    </row>
    <row r="239" spans="1:11" x14ac:dyDescent="0.25">
      <c r="A239" s="33" t="s">
        <v>3532</v>
      </c>
      <c r="B239" s="51">
        <v>0</v>
      </c>
      <c r="C239" s="51">
        <v>0</v>
      </c>
      <c r="D239" s="51">
        <v>0</v>
      </c>
      <c r="E239" s="51">
        <v>0</v>
      </c>
      <c r="F239" s="51">
        <v>0</v>
      </c>
      <c r="G239" s="58">
        <v>0</v>
      </c>
      <c r="H239" s="51"/>
      <c r="I239" s="48">
        <v>0</v>
      </c>
      <c r="J239" s="51">
        <v>0</v>
      </c>
      <c r="K239" s="52">
        <v>0</v>
      </c>
    </row>
    <row r="240" spans="1:11" x14ac:dyDescent="0.25">
      <c r="A240" s="33" t="s">
        <v>3457</v>
      </c>
      <c r="B240" s="51">
        <f>'Debt Service'!C132</f>
        <v>2679280</v>
      </c>
      <c r="C240" s="51">
        <f>'Debt Service'!D132</f>
        <v>2682358</v>
      </c>
      <c r="D240" s="51">
        <f>'Debt Service'!E132</f>
        <v>2688672</v>
      </c>
      <c r="E240" s="51">
        <f>'Debt Service'!F132</f>
        <v>4501772</v>
      </c>
      <c r="F240" s="51">
        <f>'Debt Service'!G132</f>
        <v>3450827.7199999997</v>
      </c>
      <c r="G240" s="58">
        <f>'Debt Service'!H132</f>
        <v>4501772</v>
      </c>
      <c r="H240" s="51"/>
      <c r="I240" s="51">
        <f>'Debt Service'!J132</f>
        <v>4335280.76</v>
      </c>
      <c r="J240" s="51">
        <f>'Debt Service'!K132</f>
        <v>0</v>
      </c>
      <c r="K240" s="51">
        <f>'Debt Service'!L132</f>
        <v>4335280.76</v>
      </c>
    </row>
    <row r="241" spans="1:11" x14ac:dyDescent="0.25">
      <c r="B241" s="51"/>
      <c r="C241" s="51"/>
      <c r="D241" s="51"/>
      <c r="E241" s="51"/>
      <c r="F241" s="51"/>
      <c r="H241" s="51"/>
    </row>
    <row r="242" spans="1:11" x14ac:dyDescent="0.25">
      <c r="A242" s="33" t="s">
        <v>3452</v>
      </c>
      <c r="B242" s="51">
        <f t="shared" ref="B242:K242" si="31">B238+B229+B231+B232+B233+B234+B235+B236+B239-B240+B237+B230</f>
        <v>22555</v>
      </c>
      <c r="C242" s="51">
        <f t="shared" si="31"/>
        <v>125900</v>
      </c>
      <c r="D242" s="51">
        <f t="shared" si="31"/>
        <v>107154</v>
      </c>
      <c r="E242" s="51">
        <f t="shared" si="31"/>
        <v>34376</v>
      </c>
      <c r="F242" s="51">
        <f t="shared" si="31"/>
        <v>1054944.1600000001</v>
      </c>
      <c r="G242" s="51">
        <f t="shared" si="31"/>
        <v>-8772</v>
      </c>
      <c r="H242" s="51"/>
      <c r="I242" s="51">
        <f t="shared" si="31"/>
        <v>40000.240000000224</v>
      </c>
      <c r="J242" s="51">
        <f t="shared" si="31"/>
        <v>0</v>
      </c>
      <c r="K242" s="51">
        <f t="shared" si="31"/>
        <v>40000.240000000224</v>
      </c>
    </row>
    <row r="243" spans="1:11" x14ac:dyDescent="0.25">
      <c r="B243" s="51"/>
      <c r="C243" s="51"/>
      <c r="D243" s="51"/>
      <c r="E243" s="51"/>
      <c r="F243" s="51"/>
      <c r="G243" s="51"/>
      <c r="H243" s="51"/>
      <c r="I243" s="51"/>
      <c r="J243" s="51"/>
      <c r="K243" s="52"/>
    </row>
    <row r="244" spans="1:11" hidden="1" x14ac:dyDescent="0.25">
      <c r="A244" s="55" t="s">
        <v>3453</v>
      </c>
      <c r="B244" s="51">
        <v>1</v>
      </c>
      <c r="C244" s="51">
        <v>2</v>
      </c>
      <c r="D244" s="51">
        <v>0</v>
      </c>
      <c r="E244" s="51">
        <v>0</v>
      </c>
      <c r="F244" s="51">
        <v>0</v>
      </c>
      <c r="G244" s="51">
        <v>0</v>
      </c>
      <c r="H244" s="51"/>
      <c r="I244" s="51">
        <v>0</v>
      </c>
      <c r="J244" s="51">
        <v>0</v>
      </c>
      <c r="K244" s="52">
        <f>I244+J244</f>
        <v>0</v>
      </c>
    </row>
    <row r="245" spans="1:11" hidden="1" x14ac:dyDescent="0.25">
      <c r="B245" s="51"/>
      <c r="C245" s="51"/>
      <c r="D245" s="51"/>
      <c r="E245" s="51"/>
      <c r="F245" s="51"/>
      <c r="G245" s="51"/>
      <c r="H245" s="51"/>
    </row>
    <row r="246" spans="1:11" hidden="1" x14ac:dyDescent="0.25">
      <c r="A246" s="33" t="s">
        <v>3454</v>
      </c>
      <c r="B246" s="51">
        <f t="shared" ref="B246:G246" si="32">+B226+B229+B231+B235+B236-B240+B232+B234+B244+B230</f>
        <v>459708</v>
      </c>
      <c r="C246" s="51">
        <f t="shared" si="32"/>
        <v>585610</v>
      </c>
      <c r="D246" s="51">
        <f t="shared" si="32"/>
        <v>692764</v>
      </c>
      <c r="E246" s="51">
        <f t="shared" si="32"/>
        <v>727140</v>
      </c>
      <c r="F246" s="51">
        <f t="shared" si="32"/>
        <v>1054944.1600000001</v>
      </c>
      <c r="G246" s="51">
        <f t="shared" si="32"/>
        <v>683992</v>
      </c>
      <c r="H246" s="51"/>
      <c r="I246" s="51">
        <f>+I226+I229+I231+I235+I236-I240+I232+I234+I244+I230</f>
        <v>40000.240000000224</v>
      </c>
      <c r="J246" s="51">
        <f>+J226+J229+J231+J235+J236-J240+J232+J234+J244+J230</f>
        <v>0</v>
      </c>
      <c r="K246" s="52">
        <f>I246+J246</f>
        <v>40000.240000000224</v>
      </c>
    </row>
    <row r="247" spans="1:11" hidden="1" x14ac:dyDescent="0.25">
      <c r="B247" s="51"/>
      <c r="C247" s="51"/>
      <c r="D247" s="51"/>
      <c r="E247" s="51"/>
      <c r="F247" s="51"/>
      <c r="G247" s="51"/>
      <c r="H247" s="51"/>
    </row>
    <row r="248" spans="1:11" x14ac:dyDescent="0.25">
      <c r="B248" s="51"/>
      <c r="C248" s="51"/>
      <c r="D248" s="51"/>
      <c r="E248" s="51"/>
      <c r="F248" s="51"/>
      <c r="G248" s="51"/>
      <c r="H248" s="51"/>
    </row>
    <row r="249" spans="1:11" x14ac:dyDescent="0.25">
      <c r="A249" s="49" t="s">
        <v>3533</v>
      </c>
      <c r="B249" s="51"/>
      <c r="C249" s="51"/>
      <c r="D249" s="51"/>
      <c r="E249" s="51"/>
      <c r="F249" s="51"/>
      <c r="G249" s="51"/>
      <c r="H249" s="51"/>
    </row>
    <row r="250" spans="1:11" x14ac:dyDescent="0.25">
      <c r="A250" s="49"/>
      <c r="B250" s="51"/>
      <c r="C250" s="51"/>
      <c r="D250" s="51"/>
      <c r="E250" s="51"/>
      <c r="F250" s="51"/>
      <c r="G250" s="51"/>
      <c r="H250" s="51"/>
    </row>
    <row r="251" spans="1:11" hidden="1" x14ac:dyDescent="0.25">
      <c r="A251" s="33" t="s">
        <v>3420</v>
      </c>
      <c r="B251" s="51">
        <v>652537</v>
      </c>
      <c r="C251" s="51">
        <v>657625</v>
      </c>
      <c r="D251" s="51">
        <v>686399.88</v>
      </c>
      <c r="E251" s="51">
        <v>723623.18</v>
      </c>
      <c r="F251" s="51">
        <v>0</v>
      </c>
      <c r="G251" s="51">
        <v>723623.18</v>
      </c>
      <c r="H251" s="51"/>
      <c r="I251" s="51">
        <v>0</v>
      </c>
      <c r="J251" s="51">
        <v>0</v>
      </c>
      <c r="K251" s="52">
        <f>G262</f>
        <v>753623.18</v>
      </c>
    </row>
    <row r="252" spans="1:11" hidden="1" x14ac:dyDescent="0.25">
      <c r="B252" s="51"/>
      <c r="C252" s="51"/>
      <c r="D252" s="51"/>
      <c r="E252" s="51"/>
      <c r="F252" s="51"/>
      <c r="G252" s="64"/>
      <c r="H252" s="51"/>
    </row>
    <row r="253" spans="1:11" x14ac:dyDescent="0.25">
      <c r="A253" s="33" t="s">
        <v>3421</v>
      </c>
      <c r="B253" s="51">
        <f>'Park Fund'!C11+'Park Fund'!C12+'Park Fund'!C13</f>
        <v>0</v>
      </c>
      <c r="C253" s="51">
        <f>'Park Fund'!D11+'Park Fund'!D12+'Park Fund'!D13</f>
        <v>0</v>
      </c>
      <c r="D253" s="51">
        <f>'Park Fund'!E11+'Park Fund'!E12+'Park Fund'!E13</f>
        <v>0</v>
      </c>
      <c r="E253" s="51">
        <f>'Park Fund'!F11+'Park Fund'!F12+'Park Fund'!F13</f>
        <v>0</v>
      </c>
      <c r="F253" s="51">
        <f>'Park Fund'!G11+'Park Fund'!G12+'Park Fund'!G13</f>
        <v>0</v>
      </c>
      <c r="G253" s="51">
        <f>'Park Fund'!H11+'Park Fund'!H12+'Park Fund'!H13</f>
        <v>0</v>
      </c>
      <c r="H253" s="51"/>
      <c r="I253" s="51">
        <f>'Park Fund'!J11+'Park Fund'!J12+'Park Fund'!J13</f>
        <v>0</v>
      </c>
      <c r="J253" s="51">
        <f>'Park Fund'!K11+'Park Fund'!K12+'Park Fund'!K13</f>
        <v>0</v>
      </c>
      <c r="K253" s="51">
        <f>'Park Fund'!L11+'Park Fund'!L12+'Park Fund'!L13</f>
        <v>0</v>
      </c>
    </row>
    <row r="254" spans="1:11" x14ac:dyDescent="0.25">
      <c r="A254" s="33" t="s">
        <v>3534</v>
      </c>
      <c r="B254" s="51">
        <v>0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/>
      <c r="I254" s="51">
        <v>0</v>
      </c>
      <c r="J254" s="51">
        <v>0</v>
      </c>
      <c r="K254" s="51">
        <f>I254+J254</f>
        <v>0</v>
      </c>
    </row>
    <row r="255" spans="1:11" x14ac:dyDescent="0.25">
      <c r="A255" s="33" t="s">
        <v>3535</v>
      </c>
      <c r="B255" s="51">
        <f>'Park Fund'!C10</f>
        <v>5088</v>
      </c>
      <c r="C255" s="51">
        <f>'Park Fund'!D10</f>
        <v>31925</v>
      </c>
      <c r="D255" s="51">
        <f>'Park Fund'!E10</f>
        <v>38458</v>
      </c>
      <c r="E255" s="51">
        <f>'Park Fund'!F10</f>
        <v>28802</v>
      </c>
      <c r="F255" s="51">
        <f>'Park Fund'!G10</f>
        <v>24805.53</v>
      </c>
      <c r="G255" s="51">
        <f>'Park Fund'!H10</f>
        <v>30000</v>
      </c>
      <c r="H255" s="51"/>
      <c r="I255" s="51">
        <f>'Park Fund'!J10</f>
        <v>29000</v>
      </c>
      <c r="J255" s="51">
        <f>'Park Fund'!K10</f>
        <v>0</v>
      </c>
      <c r="K255" s="51">
        <f>'Park Fund'!L10</f>
        <v>29000</v>
      </c>
    </row>
    <row r="256" spans="1:11" x14ac:dyDescent="0.25">
      <c r="A256" s="33" t="s">
        <v>3457</v>
      </c>
      <c r="B256" s="51">
        <f>'Park Fund'!C57</f>
        <v>0</v>
      </c>
      <c r="C256" s="51">
        <f>'Park Fund'!D57</f>
        <v>3150</v>
      </c>
      <c r="D256" s="51">
        <f>'Park Fund'!E57</f>
        <v>1235</v>
      </c>
      <c r="E256" s="51">
        <f>'Park Fund'!F57</f>
        <v>0</v>
      </c>
      <c r="F256" s="51">
        <f>'Park Fund'!G57</f>
        <v>0</v>
      </c>
      <c r="G256" s="51">
        <f>'Park Fund'!H57</f>
        <v>0</v>
      </c>
      <c r="H256" s="51"/>
      <c r="I256" s="51">
        <f>'Park Fund'!J57</f>
        <v>0</v>
      </c>
      <c r="J256" s="51">
        <f>'Park Fund'!K57</f>
        <v>0</v>
      </c>
      <c r="K256" s="51">
        <f>'Park Fund'!L57</f>
        <v>0</v>
      </c>
    </row>
    <row r="257" spans="1:11" x14ac:dyDescent="0.25">
      <c r="B257" s="51"/>
      <c r="C257" s="51"/>
      <c r="D257" s="51"/>
      <c r="E257" s="51"/>
      <c r="F257" s="51"/>
      <c r="G257" s="51"/>
      <c r="H257" s="51"/>
    </row>
    <row r="258" spans="1:11" x14ac:dyDescent="0.25">
      <c r="A258" s="33" t="s">
        <v>3452</v>
      </c>
      <c r="B258" s="51">
        <f t="shared" ref="B258:G258" si="33">B253+B254+B255-B256</f>
        <v>5088</v>
      </c>
      <c r="C258" s="51">
        <f t="shared" si="33"/>
        <v>28775</v>
      </c>
      <c r="D258" s="51">
        <f t="shared" si="33"/>
        <v>37223</v>
      </c>
      <c r="E258" s="51">
        <f t="shared" si="33"/>
        <v>28802</v>
      </c>
      <c r="F258" s="51">
        <f t="shared" si="33"/>
        <v>24805.53</v>
      </c>
      <c r="G258" s="51">
        <f t="shared" si="33"/>
        <v>30000</v>
      </c>
      <c r="H258" s="51"/>
      <c r="I258" s="51">
        <f>I253+I254+I255-I256</f>
        <v>29000</v>
      </c>
      <c r="J258" s="51">
        <f>J253+J254+J255-J256</f>
        <v>0</v>
      </c>
      <c r="K258" s="51">
        <f>K253+K254+K255-K256</f>
        <v>29000</v>
      </c>
    </row>
    <row r="259" spans="1:11" x14ac:dyDescent="0.25">
      <c r="B259" s="51"/>
      <c r="C259" s="51"/>
      <c r="D259" s="51"/>
      <c r="E259" s="51"/>
      <c r="F259" s="51"/>
      <c r="G259" s="51"/>
      <c r="H259" s="51"/>
      <c r="I259" s="51"/>
      <c r="J259" s="51"/>
    </row>
    <row r="260" spans="1:11" hidden="1" x14ac:dyDescent="0.25">
      <c r="A260" s="55" t="s">
        <v>3453</v>
      </c>
      <c r="B260" s="51">
        <v>0</v>
      </c>
      <c r="C260" s="51">
        <v>0</v>
      </c>
      <c r="D260" s="51">
        <v>0</v>
      </c>
      <c r="E260" s="51">
        <v>0</v>
      </c>
      <c r="F260" s="51">
        <v>0</v>
      </c>
      <c r="G260" s="51"/>
      <c r="H260" s="51"/>
      <c r="I260" s="51">
        <v>0</v>
      </c>
      <c r="J260" s="51">
        <v>0</v>
      </c>
      <c r="K260" s="52">
        <f>I260+J260</f>
        <v>0</v>
      </c>
    </row>
    <row r="261" spans="1:11" hidden="1" x14ac:dyDescent="0.25">
      <c r="B261" s="51"/>
      <c r="C261" s="51"/>
      <c r="D261" s="51"/>
      <c r="E261" s="51"/>
      <c r="F261" s="51"/>
      <c r="G261" s="51"/>
      <c r="H261" s="51"/>
    </row>
    <row r="262" spans="1:11" hidden="1" x14ac:dyDescent="0.25">
      <c r="A262" s="33" t="s">
        <v>3454</v>
      </c>
      <c r="B262" s="51">
        <f t="shared" ref="B262:K262" si="34">+B251+B253+B255-B256+B254+B260</f>
        <v>657625</v>
      </c>
      <c r="C262" s="51">
        <f t="shared" si="34"/>
        <v>686400</v>
      </c>
      <c r="D262" s="51">
        <f t="shared" si="34"/>
        <v>723622.88</v>
      </c>
      <c r="E262" s="51">
        <f t="shared" si="34"/>
        <v>752425.18</v>
      </c>
      <c r="F262" s="51">
        <f t="shared" si="34"/>
        <v>24805.53</v>
      </c>
      <c r="G262" s="51">
        <f t="shared" si="34"/>
        <v>753623.18</v>
      </c>
      <c r="H262" s="51"/>
      <c r="I262" s="51">
        <f t="shared" si="34"/>
        <v>29000</v>
      </c>
      <c r="J262" s="51">
        <f t="shared" si="34"/>
        <v>0</v>
      </c>
      <c r="K262" s="51">
        <f t="shared" si="34"/>
        <v>782623.18</v>
      </c>
    </row>
    <row r="263" spans="1:11" x14ac:dyDescent="0.25">
      <c r="B263" s="51"/>
      <c r="C263" s="51"/>
      <c r="D263" s="51"/>
      <c r="E263" s="51"/>
      <c r="F263" s="51"/>
      <c r="G263" s="51"/>
      <c r="H263" s="51"/>
    </row>
    <row r="264" spans="1:11" x14ac:dyDescent="0.25">
      <c r="A264" s="33" t="s">
        <v>3536</v>
      </c>
      <c r="B264" s="51">
        <f t="shared" ref="B264:G264" si="35">+B16+B63+B64+B78+B106+B162+B180+B203+B206+B229+B231+B234+B253+B255+B164+B18+B235+B163+B233+B83+B232+B239+B204+B205+B188+B181+B238+B236+B237+B182+B183+B184+B186+B254+B207+B208+B185+B165+B187+B230</f>
        <v>33207447</v>
      </c>
      <c r="C264" s="51">
        <f t="shared" si="35"/>
        <v>32059965</v>
      </c>
      <c r="D264" s="51">
        <f t="shared" si="35"/>
        <v>60354157</v>
      </c>
      <c r="E264" s="51">
        <f t="shared" si="35"/>
        <v>36220335</v>
      </c>
      <c r="F264" s="51">
        <f t="shared" si="35"/>
        <v>27989485.450000007</v>
      </c>
      <c r="G264" s="51">
        <f t="shared" si="35"/>
        <v>33144120</v>
      </c>
      <c r="H264" s="51"/>
      <c r="I264" s="51">
        <f>+I16+I63+I64+I78+I106+I162+I180+I203+I206+I229+I231+I234+I253+I255+I164+I18+I235+I163+I233+I83+I232+I239+I204+I205+I188+I181+I238+I236+I237+I182+I183+I184+I186+I254+I207+I208+I185+I165+I187+I230</f>
        <v>47948977</v>
      </c>
      <c r="J264" s="51">
        <f>+J16+J63+J64+J78+J106+J162+J180+J203+J206+J229+J231+J234+J253+J255+J164+J18+J235+J163+J233+J83+J232+J239+J204+J205+J188+J181+J238+J236+J237+J182+J183+J184+J186+J254+J207+J208+J185+J165+J187+J230</f>
        <v>0</v>
      </c>
      <c r="K264" s="51">
        <f>+K16+K63+K64+K78+K106+K162+K180+K203+K206+K229+K231+K234+K253+K255+K164+K18+K235+K163+K233+K83+K232+K239+K204+K205+K188+K181+K238+K236+K237+K182+K183+K184+K186+K254+K207+K208+K185+K165+K187+K230</f>
        <v>47948977</v>
      </c>
    </row>
    <row r="265" spans="1:11" x14ac:dyDescent="0.25">
      <c r="A265" s="33" t="s">
        <v>3537</v>
      </c>
      <c r="B265" s="51">
        <f t="shared" ref="B265:G265" si="36">B50+B65+B132+B93+B240+B189+B167+B215+B256+B209+B190+B213+B214</f>
        <v>27068822</v>
      </c>
      <c r="C265" s="51">
        <f t="shared" si="36"/>
        <v>23663695</v>
      </c>
      <c r="D265" s="51">
        <f t="shared" si="36"/>
        <v>27037542</v>
      </c>
      <c r="E265" s="51">
        <f t="shared" si="36"/>
        <v>47519961</v>
      </c>
      <c r="F265" s="51">
        <f t="shared" si="36"/>
        <v>34508602.590000004</v>
      </c>
      <c r="G265" s="51">
        <f t="shared" si="36"/>
        <v>41183998.759999998</v>
      </c>
      <c r="H265" s="51"/>
      <c r="I265" s="51">
        <f>I50+I65+I132+I93+I240+I189+I167+I215+I256+I209+I190+I213+I214</f>
        <v>51303227.424000002</v>
      </c>
      <c r="J265" s="51">
        <f>J50+J65+J132+J93+J240+J189+J167+J215+J256+J209+J190+J213+J214</f>
        <v>2035452.76</v>
      </c>
      <c r="K265" s="51">
        <f>K50+K65+K132+K93+K240+K189+K167+K215+K256+K209+K190+K213+K214</f>
        <v>53142920.184</v>
      </c>
    </row>
    <row r="266" spans="1:11" x14ac:dyDescent="0.25">
      <c r="A266" s="33" t="s">
        <v>3538</v>
      </c>
      <c r="B266" s="51">
        <f t="shared" ref="B266:K266" si="37">+B264-B265</f>
        <v>6138625</v>
      </c>
      <c r="C266" s="51">
        <f t="shared" si="37"/>
        <v>8396270</v>
      </c>
      <c r="D266" s="51">
        <f t="shared" si="37"/>
        <v>33316615</v>
      </c>
      <c r="E266" s="51">
        <f t="shared" si="37"/>
        <v>-11299626</v>
      </c>
      <c r="F266" s="51">
        <f t="shared" si="37"/>
        <v>-6519117.1399999969</v>
      </c>
      <c r="G266" s="51">
        <f t="shared" si="37"/>
        <v>-8039878.7599999979</v>
      </c>
      <c r="H266" s="51"/>
      <c r="I266" s="51">
        <f t="shared" si="37"/>
        <v>-3354250.4240000024</v>
      </c>
      <c r="J266" s="51">
        <f t="shared" si="37"/>
        <v>-2035452.76</v>
      </c>
      <c r="K266" s="51">
        <f t="shared" si="37"/>
        <v>-5193943.1840000004</v>
      </c>
    </row>
    <row r="267" spans="1:11" x14ac:dyDescent="0.25">
      <c r="G267" s="51"/>
    </row>
    <row r="268" spans="1:11" x14ac:dyDescent="0.25">
      <c r="A268" s="33" t="s">
        <v>3539</v>
      </c>
      <c r="B268" s="51">
        <f t="shared" ref="B268:G268" si="38">+B52+B67+B95+B134+B169+B192+B217+B242+B258</f>
        <v>6138625</v>
      </c>
      <c r="C268" s="51">
        <f t="shared" si="38"/>
        <v>8396270</v>
      </c>
      <c r="D268" s="51">
        <f t="shared" si="38"/>
        <v>33316615</v>
      </c>
      <c r="E268" s="51">
        <f t="shared" si="38"/>
        <v>-11299626</v>
      </c>
      <c r="F268" s="51">
        <f t="shared" si="38"/>
        <v>-6519117.1399999987</v>
      </c>
      <c r="G268" s="51">
        <f t="shared" si="38"/>
        <v>-2277880.5699999989</v>
      </c>
      <c r="H268" s="51"/>
      <c r="I268" s="51">
        <f>+I52+I67+I95+I134+I169+I192+I217+I242+I258</f>
        <v>-3354250.4240000034</v>
      </c>
      <c r="J268" s="51">
        <f>+J52+J67+J95+J134+J169+J192+J217+J242+J258</f>
        <v>-2035452.76</v>
      </c>
      <c r="K268" s="51">
        <f>+K52+K67+K95+K134+K169+K192+K217+K242+K258</f>
        <v>-5193943.1840000032</v>
      </c>
    </row>
    <row r="282" spans="2:7" x14ac:dyDescent="0.25">
      <c r="B282" s="51"/>
      <c r="E282" s="51"/>
      <c r="F282" s="51"/>
      <c r="G282" s="51"/>
    </row>
    <row r="283" spans="2:7" x14ac:dyDescent="0.25">
      <c r="B283" s="51"/>
      <c r="E283" s="51"/>
      <c r="F283" s="51"/>
      <c r="G283" s="51"/>
    </row>
    <row r="284" spans="2:7" x14ac:dyDescent="0.25">
      <c r="B284" s="51"/>
      <c r="E284" s="51"/>
      <c r="F284" s="51"/>
      <c r="G284" s="51"/>
    </row>
    <row r="285" spans="2:7" x14ac:dyDescent="0.25">
      <c r="B285" s="51"/>
      <c r="E285" s="51"/>
      <c r="F285" s="51"/>
      <c r="G285" s="51"/>
    </row>
    <row r="286" spans="2:7" x14ac:dyDescent="0.25">
      <c r="B286" s="51"/>
      <c r="E286" s="51"/>
      <c r="F286" s="51"/>
      <c r="G286" s="51"/>
    </row>
    <row r="287" spans="2:7" x14ac:dyDescent="0.25">
      <c r="B287" s="51"/>
      <c r="E287" s="51"/>
      <c r="F287" s="51"/>
      <c r="G287" s="51"/>
    </row>
    <row r="288" spans="2:7" x14ac:dyDescent="0.25">
      <c r="B288" s="51"/>
      <c r="E288" s="51"/>
      <c r="F288" s="51"/>
      <c r="G288" s="51"/>
    </row>
  </sheetData>
  <sheetProtection algorithmName="SHA-512" hashValue="08ESLkq2uYzD9shqHlNYBKKycY6/K4WLIchENrHSHIt76a+njobLwiYlf8xgPBSwQIUcQQDP2+NzAMaNKGYnNA==" saltValue="9BVzJNPHpXiBQH6U7IPhAA==" spinCount="100000" sheet="1" objects="1" scenarios="1"/>
  <pageMargins left="0.25" right="0.25" top="0.75" bottom="0.75" header="0.3" footer="0.3"/>
  <pageSetup scale="76" fitToHeight="0" orientation="landscape" r:id="rId1"/>
  <rowBreaks count="6" manualBreakCount="6">
    <brk id="44" max="10" man="1"/>
    <brk id="82" max="10" man="1"/>
    <brk id="120" max="10" man="1"/>
    <brk id="160" max="10" man="1"/>
    <brk id="197" max="10" man="1"/>
    <brk id="234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F3C8-CE1E-4342-B48D-717E8B316C7A}">
  <sheetPr>
    <pageSetUpPr fitToPage="1"/>
  </sheetPr>
  <dimension ref="A1:L65"/>
  <sheetViews>
    <sheetView zoomScaleNormal="100" workbookViewId="0">
      <selection activeCell="A30" sqref="A30:XFD30"/>
    </sheetView>
  </sheetViews>
  <sheetFormatPr defaultRowHeight="15" x14ac:dyDescent="0.25"/>
  <cols>
    <col min="2" max="2" width="30.140625" style="7" bestFit="1" customWidth="1"/>
    <col min="3" max="3" width="13.28515625" style="12" bestFit="1" customWidth="1"/>
    <col min="4" max="4" width="15" style="12" bestFit="1" customWidth="1"/>
    <col min="5" max="7" width="14.28515625" style="12" bestFit="1" customWidth="1"/>
    <col min="8" max="8" width="14.28515625" style="11" bestFit="1" customWidth="1"/>
    <col min="9" max="9" width="12.5703125" style="11" bestFit="1" customWidth="1"/>
    <col min="10" max="10" width="14.28515625" style="11" bestFit="1" customWidth="1"/>
    <col min="11" max="11" width="14.7109375" style="11" bestFit="1" customWidth="1"/>
    <col min="12" max="12" width="14.140625" style="12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329</v>
      </c>
    </row>
    <row r="11" spans="1:12" x14ac:dyDescent="0.25">
      <c r="A11" t="s">
        <v>478</v>
      </c>
    </row>
    <row r="12" spans="1:12" x14ac:dyDescent="0.25">
      <c r="A12" t="s">
        <v>18</v>
      </c>
      <c r="B12" s="7" t="s">
        <v>21</v>
      </c>
    </row>
    <row r="13" spans="1:12" x14ac:dyDescent="0.25">
      <c r="A13" t="s">
        <v>1289</v>
      </c>
      <c r="B13" s="7" t="s">
        <v>445</v>
      </c>
      <c r="C13" s="22">
        <v>167</v>
      </c>
      <c r="D13" s="22">
        <v>139</v>
      </c>
      <c r="E13" s="22">
        <v>435</v>
      </c>
      <c r="F13" s="22">
        <v>479</v>
      </c>
      <c r="G13" s="22">
        <v>458.15</v>
      </c>
      <c r="H13" s="21">
        <v>458</v>
      </c>
      <c r="I13" s="21"/>
      <c r="J13" s="21">
        <f>H13*0.1+H13</f>
        <v>503.8</v>
      </c>
      <c r="K13" s="21">
        <v>0</v>
      </c>
      <c r="L13" s="22">
        <f>SUM(J13+K13)</f>
        <v>503.8</v>
      </c>
    </row>
    <row r="14" spans="1:12" x14ac:dyDescent="0.25">
      <c r="A14" t="s">
        <v>1290</v>
      </c>
      <c r="B14" s="7" t="s">
        <v>1291</v>
      </c>
      <c r="C14" s="22">
        <v>0</v>
      </c>
      <c r="D14" s="22">
        <v>-18</v>
      </c>
      <c r="E14" s="22">
        <v>0</v>
      </c>
      <c r="F14" s="22">
        <v>0</v>
      </c>
      <c r="G14" s="22">
        <v>0</v>
      </c>
      <c r="H14" s="21">
        <v>0</v>
      </c>
      <c r="I14" s="21"/>
      <c r="J14" s="21">
        <v>0</v>
      </c>
      <c r="K14" s="21">
        <v>0</v>
      </c>
      <c r="L14" s="22">
        <f t="shared" ref="L14:L20" si="0">SUM(J14+K14)</f>
        <v>0</v>
      </c>
    </row>
    <row r="15" spans="1:12" x14ac:dyDescent="0.25">
      <c r="A15" t="s">
        <v>1292</v>
      </c>
      <c r="B15" s="7" t="s">
        <v>449</v>
      </c>
      <c r="C15" s="22">
        <v>0</v>
      </c>
      <c r="D15" s="22">
        <v>546</v>
      </c>
      <c r="E15" s="22">
        <v>0</v>
      </c>
      <c r="F15" s="22">
        <v>1000</v>
      </c>
      <c r="G15" s="22">
        <v>0</v>
      </c>
      <c r="H15" s="21">
        <v>0</v>
      </c>
      <c r="I15" s="21"/>
      <c r="J15" s="21">
        <v>0</v>
      </c>
      <c r="K15" s="21">
        <v>0</v>
      </c>
      <c r="L15" s="22">
        <f t="shared" si="0"/>
        <v>0</v>
      </c>
    </row>
    <row r="16" spans="1:12" x14ac:dyDescent="0.25">
      <c r="A16" t="s">
        <v>1293</v>
      </c>
      <c r="B16" s="7" t="s">
        <v>1232</v>
      </c>
      <c r="C16" s="22">
        <v>0</v>
      </c>
      <c r="D16" s="22">
        <v>7368</v>
      </c>
      <c r="E16" s="22">
        <v>10786</v>
      </c>
      <c r="F16" s="22">
        <v>16030</v>
      </c>
      <c r="G16" s="22">
        <v>0</v>
      </c>
      <c r="H16" s="21">
        <v>0</v>
      </c>
      <c r="I16" s="21"/>
      <c r="J16" s="21">
        <v>1000</v>
      </c>
      <c r="K16" s="21">
        <v>0</v>
      </c>
      <c r="L16" s="22">
        <f t="shared" si="0"/>
        <v>1000</v>
      </c>
    </row>
    <row r="17" spans="1:12" x14ac:dyDescent="0.25">
      <c r="A17" t="s">
        <v>1294</v>
      </c>
      <c r="B17" s="7" t="s">
        <v>1047</v>
      </c>
      <c r="C17" s="22">
        <v>481</v>
      </c>
      <c r="D17" s="22">
        <v>512</v>
      </c>
      <c r="E17" s="22">
        <v>492</v>
      </c>
      <c r="F17" s="22">
        <v>500</v>
      </c>
      <c r="G17" s="22">
        <v>398.15</v>
      </c>
      <c r="H17" s="21">
        <v>479</v>
      </c>
      <c r="I17" s="21"/>
      <c r="J17" s="21">
        <v>500</v>
      </c>
      <c r="K17" s="21">
        <v>0</v>
      </c>
      <c r="L17" s="22">
        <f t="shared" si="0"/>
        <v>500</v>
      </c>
    </row>
    <row r="18" spans="1:12" x14ac:dyDescent="0.25">
      <c r="A18" t="s">
        <v>1295</v>
      </c>
      <c r="B18" s="7" t="s">
        <v>1049</v>
      </c>
      <c r="C18" s="22">
        <v>480</v>
      </c>
      <c r="D18" s="22">
        <v>463</v>
      </c>
      <c r="E18" s="22">
        <v>500</v>
      </c>
      <c r="F18" s="22">
        <v>500</v>
      </c>
      <c r="G18" s="22">
        <v>336.99</v>
      </c>
      <c r="H18" s="21">
        <v>500</v>
      </c>
      <c r="I18" s="21"/>
      <c r="J18" s="21">
        <v>500</v>
      </c>
      <c r="K18" s="21">
        <v>0</v>
      </c>
      <c r="L18" s="22">
        <f t="shared" si="0"/>
        <v>500</v>
      </c>
    </row>
    <row r="19" spans="1:12" x14ac:dyDescent="0.25">
      <c r="A19" t="s">
        <v>1296</v>
      </c>
      <c r="B19" s="7" t="s">
        <v>473</v>
      </c>
      <c r="C19" s="22">
        <v>0</v>
      </c>
      <c r="D19" s="22">
        <v>862</v>
      </c>
      <c r="E19" s="22">
        <v>0</v>
      </c>
      <c r="F19" s="22">
        <v>3000</v>
      </c>
      <c r="G19" s="22">
        <v>1818.91</v>
      </c>
      <c r="H19" s="21">
        <v>2000</v>
      </c>
      <c r="I19" s="21"/>
      <c r="J19" s="21">
        <v>3000</v>
      </c>
      <c r="K19" s="21">
        <v>0</v>
      </c>
      <c r="L19" s="22">
        <f t="shared" si="0"/>
        <v>3000</v>
      </c>
    </row>
    <row r="20" spans="1:12" x14ac:dyDescent="0.25">
      <c r="A20" t="s">
        <v>1297</v>
      </c>
      <c r="B20" s="7" t="s">
        <v>475</v>
      </c>
      <c r="C20" s="22">
        <v>1642</v>
      </c>
      <c r="D20" s="22">
        <v>3397</v>
      </c>
      <c r="E20" s="22">
        <v>0</v>
      </c>
      <c r="F20" s="22">
        <v>1000</v>
      </c>
      <c r="G20" s="22">
        <v>274.39999999999998</v>
      </c>
      <c r="H20" s="21">
        <v>375</v>
      </c>
      <c r="I20" s="21"/>
      <c r="J20" s="21">
        <v>1000</v>
      </c>
      <c r="K20" s="21">
        <v>0</v>
      </c>
      <c r="L20" s="22">
        <f t="shared" si="0"/>
        <v>1000</v>
      </c>
    </row>
    <row r="21" spans="1:12" x14ac:dyDescent="0.25">
      <c r="C21" s="22"/>
      <c r="D21" s="22"/>
      <c r="E21" s="22"/>
      <c r="F21" s="22"/>
      <c r="G21" s="22"/>
      <c r="H21" s="21"/>
      <c r="I21" s="21"/>
      <c r="J21" s="21"/>
      <c r="K21" s="21"/>
      <c r="L21" s="22"/>
    </row>
    <row r="22" spans="1:12" x14ac:dyDescent="0.25">
      <c r="C22" s="22"/>
      <c r="D22" s="22"/>
      <c r="E22" s="22"/>
      <c r="F22" s="22"/>
      <c r="G22" s="22"/>
      <c r="H22" s="21"/>
      <c r="I22" s="21"/>
      <c r="J22" s="21"/>
      <c r="K22" s="21"/>
      <c r="L22" s="22"/>
    </row>
    <row r="23" spans="1:12" x14ac:dyDescent="0.25">
      <c r="A23" t="s">
        <v>109</v>
      </c>
      <c r="C23" s="22"/>
      <c r="D23" s="22"/>
      <c r="E23" s="22"/>
      <c r="F23" s="22"/>
      <c r="G23" s="22"/>
      <c r="H23" s="21"/>
      <c r="I23" s="21"/>
      <c r="J23" s="21"/>
      <c r="K23" s="21"/>
      <c r="L23" s="22"/>
    </row>
    <row r="24" spans="1:12" x14ac:dyDescent="0.25">
      <c r="B24" t="s">
        <v>478</v>
      </c>
      <c r="C24" s="20">
        <f t="shared" ref="C24:H24" si="1">SUM(C13:C20)</f>
        <v>2770</v>
      </c>
      <c r="D24" s="20">
        <f t="shared" si="1"/>
        <v>13269</v>
      </c>
      <c r="E24" s="20">
        <f t="shared" si="1"/>
        <v>12213</v>
      </c>
      <c r="F24" s="20">
        <f t="shared" si="1"/>
        <v>22509</v>
      </c>
      <c r="G24" s="20">
        <f t="shared" si="1"/>
        <v>3286.6</v>
      </c>
      <c r="H24" s="20">
        <f t="shared" si="1"/>
        <v>3812</v>
      </c>
      <c r="I24" s="20"/>
      <c r="J24" s="20">
        <f>SUM(J13:J20)</f>
        <v>6503.8</v>
      </c>
      <c r="K24" s="20">
        <f>SUM(K13:K20)</f>
        <v>0</v>
      </c>
      <c r="L24" s="20">
        <f>SUM(L13:L20)</f>
        <v>6503.8</v>
      </c>
    </row>
    <row r="25" spans="1:12" x14ac:dyDescent="0.25">
      <c r="C25" s="22"/>
      <c r="D25" s="22"/>
      <c r="E25" s="22"/>
      <c r="F25" s="22"/>
      <c r="G25" s="22"/>
      <c r="H25" s="21"/>
      <c r="I25" s="21"/>
      <c r="J25" s="21"/>
      <c r="K25" s="21"/>
      <c r="L25" s="22"/>
    </row>
    <row r="26" spans="1:12" x14ac:dyDescent="0.25">
      <c r="A26" t="s">
        <v>489</v>
      </c>
      <c r="C26" s="22"/>
      <c r="D26" s="22"/>
      <c r="E26" s="22"/>
      <c r="F26" s="22"/>
      <c r="G26" s="22"/>
      <c r="H26" s="21"/>
      <c r="I26" s="21"/>
      <c r="J26" s="21"/>
      <c r="K26" s="21"/>
      <c r="L26" s="22"/>
    </row>
    <row r="27" spans="1:12" x14ac:dyDescent="0.25">
      <c r="A27" t="s">
        <v>18</v>
      </c>
      <c r="C27" s="22"/>
      <c r="D27" s="22"/>
      <c r="E27" s="22"/>
      <c r="F27" s="22"/>
      <c r="G27" s="22"/>
      <c r="H27" s="21"/>
      <c r="I27" s="21"/>
      <c r="J27" s="21"/>
      <c r="K27" s="21"/>
      <c r="L27" s="22"/>
    </row>
    <row r="28" spans="1:12" x14ac:dyDescent="0.25">
      <c r="A28" t="s">
        <v>1298</v>
      </c>
      <c r="B28" s="7" t="s">
        <v>489</v>
      </c>
      <c r="C28" s="22">
        <v>2475</v>
      </c>
      <c r="D28" s="22">
        <v>2725</v>
      </c>
      <c r="E28" s="22">
        <v>2169</v>
      </c>
      <c r="F28" s="22">
        <v>7000</v>
      </c>
      <c r="G28" s="22">
        <v>1135.8900000000001</v>
      </c>
      <c r="H28" s="21">
        <v>2000</v>
      </c>
      <c r="I28" s="21"/>
      <c r="J28" s="21">
        <v>5000</v>
      </c>
      <c r="K28" s="21">
        <v>0</v>
      </c>
      <c r="L28" s="22">
        <f>SUM(J28+K28)</f>
        <v>5000</v>
      </c>
    </row>
    <row r="29" spans="1:12" x14ac:dyDescent="0.25">
      <c r="A29" t="s">
        <v>1299</v>
      </c>
      <c r="B29" s="7" t="s">
        <v>496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1">
        <v>0</v>
      </c>
      <c r="I29" s="21"/>
      <c r="J29" s="21">
        <v>0</v>
      </c>
      <c r="K29" s="21">
        <v>0</v>
      </c>
      <c r="L29" s="22">
        <f t="shared" ref="L29:L31" si="2">SUM(J29+K29)</f>
        <v>0</v>
      </c>
    </row>
    <row r="30" spans="1:12" hidden="1" x14ac:dyDescent="0.25">
      <c r="A30" t="s">
        <v>1300</v>
      </c>
      <c r="B30" s="7" t="s">
        <v>498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1">
        <v>0</v>
      </c>
      <c r="I30" s="21"/>
      <c r="J30" s="21">
        <v>0</v>
      </c>
      <c r="K30" s="21">
        <v>0</v>
      </c>
      <c r="L30" s="22">
        <f t="shared" si="2"/>
        <v>0</v>
      </c>
    </row>
    <row r="31" spans="1:12" x14ac:dyDescent="0.25">
      <c r="A31" t="s">
        <v>1301</v>
      </c>
      <c r="B31" s="7" t="s">
        <v>500</v>
      </c>
      <c r="C31" s="22">
        <v>0</v>
      </c>
      <c r="D31" s="22">
        <v>54000</v>
      </c>
      <c r="E31" s="22">
        <v>0</v>
      </c>
      <c r="F31" s="22">
        <v>0</v>
      </c>
      <c r="G31" s="22">
        <v>0</v>
      </c>
      <c r="H31" s="21">
        <v>0</v>
      </c>
      <c r="I31" s="21"/>
      <c r="J31" s="21">
        <v>0</v>
      </c>
      <c r="K31" s="21">
        <v>0</v>
      </c>
      <c r="L31" s="22">
        <f t="shared" si="2"/>
        <v>0</v>
      </c>
    </row>
    <row r="32" spans="1:12" x14ac:dyDescent="0.25">
      <c r="C32" s="22"/>
      <c r="D32" s="22"/>
      <c r="E32" s="22"/>
      <c r="F32" s="22"/>
      <c r="G32" s="22"/>
      <c r="H32" s="21"/>
      <c r="I32" s="21"/>
      <c r="J32" s="21"/>
      <c r="K32" s="21"/>
      <c r="L32" s="22"/>
    </row>
    <row r="33" spans="1:12" x14ac:dyDescent="0.25">
      <c r="C33" s="22"/>
      <c r="D33" s="22"/>
      <c r="E33" s="22"/>
      <c r="F33" s="22"/>
      <c r="G33" s="22"/>
      <c r="H33" s="21"/>
      <c r="I33" s="21"/>
      <c r="J33" s="21"/>
      <c r="K33" s="21"/>
      <c r="L33" s="22"/>
    </row>
    <row r="34" spans="1:12" x14ac:dyDescent="0.25">
      <c r="A34" t="s">
        <v>109</v>
      </c>
      <c r="C34" s="22"/>
      <c r="D34" s="22"/>
      <c r="E34" s="22"/>
      <c r="F34" s="22"/>
      <c r="G34" s="22"/>
      <c r="H34" s="21"/>
      <c r="I34" s="21"/>
      <c r="J34" s="21"/>
      <c r="K34" s="21"/>
      <c r="L34" s="22"/>
    </row>
    <row r="35" spans="1:12" x14ac:dyDescent="0.25">
      <c r="B35" t="s">
        <v>489</v>
      </c>
      <c r="C35" s="20">
        <f t="shared" ref="C35:H35" si="3">SUM(C28:C31)</f>
        <v>2475</v>
      </c>
      <c r="D35" s="20">
        <f t="shared" si="3"/>
        <v>56725</v>
      </c>
      <c r="E35" s="20">
        <f t="shared" si="3"/>
        <v>2169</v>
      </c>
      <c r="F35" s="20">
        <f t="shared" si="3"/>
        <v>7000</v>
      </c>
      <c r="G35" s="20">
        <f t="shared" si="3"/>
        <v>1135.8900000000001</v>
      </c>
      <c r="H35" s="20">
        <f t="shared" si="3"/>
        <v>2000</v>
      </c>
      <c r="I35" s="20"/>
      <c r="J35" s="20">
        <f>SUM(J28:J31)</f>
        <v>5000</v>
      </c>
      <c r="K35" s="20">
        <f>SUM(K28:K31)</f>
        <v>0</v>
      </c>
      <c r="L35" s="20">
        <f>SUM(L28:L31)</f>
        <v>5000</v>
      </c>
    </row>
    <row r="36" spans="1:12" x14ac:dyDescent="0.25">
      <c r="C36" s="22"/>
      <c r="D36" s="22"/>
      <c r="E36" s="22"/>
      <c r="F36" s="22"/>
      <c r="G36" s="22"/>
      <c r="H36" s="21"/>
      <c r="I36" s="21"/>
      <c r="J36" s="21"/>
      <c r="K36" s="21"/>
      <c r="L36" s="22"/>
    </row>
    <row r="37" spans="1:12" x14ac:dyDescent="0.25">
      <c r="A37" t="s">
        <v>501</v>
      </c>
      <c r="C37" s="22"/>
      <c r="D37" s="22"/>
      <c r="E37" s="22"/>
      <c r="F37" s="22"/>
      <c r="G37" s="22"/>
      <c r="H37" s="21"/>
      <c r="I37" s="21"/>
      <c r="J37" s="21"/>
      <c r="K37" s="21"/>
      <c r="L37" s="22"/>
    </row>
    <row r="38" spans="1:12" x14ac:dyDescent="0.25">
      <c r="A38" t="s">
        <v>18</v>
      </c>
      <c r="C38" s="22"/>
      <c r="D38" s="22"/>
      <c r="E38" s="22"/>
      <c r="F38" s="22"/>
      <c r="G38" s="22"/>
      <c r="H38" s="21"/>
      <c r="I38" s="21"/>
      <c r="J38" s="21"/>
      <c r="K38" s="21"/>
      <c r="L38" s="22"/>
    </row>
    <row r="39" spans="1:12" x14ac:dyDescent="0.25">
      <c r="A39" t="s">
        <v>1303</v>
      </c>
      <c r="B39" s="7" t="s">
        <v>1304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1">
        <v>0</v>
      </c>
      <c r="I39" s="21"/>
      <c r="J39" s="21">
        <v>0</v>
      </c>
      <c r="K39" s="21">
        <v>0</v>
      </c>
      <c r="L39" s="22">
        <f>SUM(J39+K39)</f>
        <v>0</v>
      </c>
    </row>
    <row r="40" spans="1:12" x14ac:dyDescent="0.25">
      <c r="A40" t="s">
        <v>1305</v>
      </c>
      <c r="B40" s="7" t="s">
        <v>1085</v>
      </c>
      <c r="C40" s="22">
        <v>933966</v>
      </c>
      <c r="D40" s="22">
        <v>992834</v>
      </c>
      <c r="E40" s="22">
        <v>1055359</v>
      </c>
      <c r="F40" s="22">
        <v>1086944</v>
      </c>
      <c r="G40" s="22">
        <v>938287.26</v>
      </c>
      <c r="H40" s="21">
        <v>1029351</v>
      </c>
      <c r="I40" s="21"/>
      <c r="J40" s="21">
        <v>1125456</v>
      </c>
      <c r="K40" s="21">
        <v>54317</v>
      </c>
      <c r="L40" s="22">
        <f t="shared" ref="L40:L46" si="4">SUM(J40+K40)</f>
        <v>1179773</v>
      </c>
    </row>
    <row r="41" spans="1:12" x14ac:dyDescent="0.25">
      <c r="B41" s="7" t="s">
        <v>3678</v>
      </c>
      <c r="C41" s="22"/>
      <c r="D41" s="22"/>
      <c r="E41" s="22"/>
      <c r="F41" s="22"/>
      <c r="G41" s="22"/>
      <c r="H41" s="21"/>
      <c r="I41" s="21">
        <v>831384</v>
      </c>
      <c r="J41" s="21"/>
      <c r="K41" s="21"/>
      <c r="L41" s="22"/>
    </row>
    <row r="42" spans="1:12" x14ac:dyDescent="0.25">
      <c r="B42" s="7" t="s">
        <v>3679</v>
      </c>
      <c r="C42" s="22"/>
      <c r="D42" s="22"/>
      <c r="E42" s="22"/>
      <c r="F42" s="22"/>
      <c r="G42" s="22"/>
      <c r="H42" s="21"/>
      <c r="I42" s="21">
        <v>254958</v>
      </c>
      <c r="J42" s="21"/>
      <c r="K42" s="21"/>
      <c r="L42" s="22"/>
    </row>
    <row r="43" spans="1:12" x14ac:dyDescent="0.25">
      <c r="B43" s="7" t="s">
        <v>3680</v>
      </c>
      <c r="C43" s="22"/>
      <c r="D43" s="22"/>
      <c r="E43" s="22"/>
      <c r="F43" s="22"/>
      <c r="G43" s="22"/>
      <c r="H43" s="21"/>
      <c r="I43" s="21">
        <v>7800</v>
      </c>
      <c r="J43" s="21"/>
      <c r="K43" s="21"/>
      <c r="L43" s="22"/>
    </row>
    <row r="44" spans="1:12" x14ac:dyDescent="0.25">
      <c r="B44" s="7" t="s">
        <v>3681</v>
      </c>
      <c r="C44" s="22"/>
      <c r="D44" s="22"/>
      <c r="E44" s="22"/>
      <c r="F44" s="22"/>
      <c r="G44" s="22"/>
      <c r="H44" s="21"/>
      <c r="I44" s="21">
        <v>8400</v>
      </c>
      <c r="J44" s="21"/>
      <c r="K44" s="21"/>
      <c r="L44" s="22"/>
    </row>
    <row r="45" spans="1:12" x14ac:dyDescent="0.25">
      <c r="B45" s="7" t="s">
        <v>3682</v>
      </c>
      <c r="C45" s="22"/>
      <c r="D45" s="22"/>
      <c r="E45" s="22"/>
      <c r="F45" s="22"/>
      <c r="G45" s="22"/>
      <c r="H45" s="21"/>
      <c r="I45" s="21">
        <v>22914</v>
      </c>
      <c r="J45" s="21"/>
      <c r="K45" s="21"/>
      <c r="L45" s="22"/>
    </row>
    <row r="46" spans="1:12" x14ac:dyDescent="0.25">
      <c r="A46" t="s">
        <v>1306</v>
      </c>
      <c r="B46" s="7" t="s">
        <v>1307</v>
      </c>
      <c r="C46" s="22">
        <v>54271</v>
      </c>
      <c r="D46" s="22">
        <v>61946</v>
      </c>
      <c r="E46" s="22">
        <v>64995</v>
      </c>
      <c r="F46" s="22">
        <v>71000</v>
      </c>
      <c r="G46" s="22">
        <v>62050</v>
      </c>
      <c r="H46" s="21">
        <v>70821</v>
      </c>
      <c r="I46" s="21"/>
      <c r="J46" s="21">
        <v>70821</v>
      </c>
      <c r="K46" s="21">
        <v>3542</v>
      </c>
      <c r="L46" s="22">
        <f t="shared" si="4"/>
        <v>74363</v>
      </c>
    </row>
    <row r="47" spans="1:12" x14ac:dyDescent="0.25">
      <c r="B47" s="7" t="s">
        <v>3683</v>
      </c>
      <c r="C47" s="22"/>
      <c r="D47" s="22"/>
      <c r="E47" s="22"/>
      <c r="F47" s="22"/>
      <c r="G47" s="22"/>
      <c r="H47" s="21"/>
      <c r="I47" s="21">
        <v>70822</v>
      </c>
      <c r="J47" s="21"/>
      <c r="K47" s="21"/>
      <c r="L47" s="22"/>
    </row>
    <row r="48" spans="1:12" x14ac:dyDescent="0.25">
      <c r="C48" s="22"/>
      <c r="D48" s="22"/>
      <c r="E48" s="22"/>
      <c r="F48" s="22"/>
      <c r="G48" s="22"/>
      <c r="H48" s="21"/>
      <c r="I48" s="21"/>
      <c r="J48" s="21"/>
      <c r="K48" s="21"/>
      <c r="L48" s="22"/>
    </row>
    <row r="49" spans="1:12" x14ac:dyDescent="0.25">
      <c r="C49" s="22"/>
      <c r="D49" s="22"/>
      <c r="E49" s="22"/>
      <c r="F49" s="22"/>
      <c r="G49" s="22"/>
      <c r="H49" s="21"/>
      <c r="I49" s="21"/>
      <c r="J49" s="21"/>
      <c r="K49" s="21"/>
      <c r="L49" s="22"/>
    </row>
    <row r="50" spans="1:12" x14ac:dyDescent="0.25">
      <c r="A50" t="s">
        <v>109</v>
      </c>
      <c r="C50" s="22"/>
      <c r="D50" s="22"/>
      <c r="E50" s="22"/>
      <c r="F50" s="22"/>
      <c r="G50" s="22"/>
      <c r="H50" s="21"/>
      <c r="I50" s="21"/>
      <c r="J50" s="21"/>
      <c r="K50" s="21"/>
      <c r="L50" s="22"/>
    </row>
    <row r="51" spans="1:12" x14ac:dyDescent="0.25">
      <c r="B51" t="s">
        <v>501</v>
      </c>
      <c r="C51" s="20">
        <f t="shared" ref="C51:H51" si="5">SUM(C39:C46)</f>
        <v>988237</v>
      </c>
      <c r="D51" s="20">
        <f t="shared" si="5"/>
        <v>1054780</v>
      </c>
      <c r="E51" s="20">
        <f t="shared" si="5"/>
        <v>1120354</v>
      </c>
      <c r="F51" s="20">
        <f t="shared" si="5"/>
        <v>1157944</v>
      </c>
      <c r="G51" s="20">
        <f t="shared" si="5"/>
        <v>1000337.26</v>
      </c>
      <c r="H51" s="20">
        <f t="shared" si="5"/>
        <v>1100172</v>
      </c>
      <c r="I51" s="20"/>
      <c r="J51" s="20">
        <f>SUM(J39:J46)</f>
        <v>1196277</v>
      </c>
      <c r="K51" s="20">
        <f>SUM(K39:K46)</f>
        <v>57859</v>
      </c>
      <c r="L51" s="20">
        <f>SUM(L39:L46)</f>
        <v>1254136</v>
      </c>
    </row>
    <row r="52" spans="1:12" x14ac:dyDescent="0.25">
      <c r="C52" s="22"/>
      <c r="D52" s="22"/>
      <c r="E52" s="22"/>
      <c r="F52" s="22"/>
      <c r="G52" s="22"/>
      <c r="H52" s="21"/>
      <c r="I52" s="21"/>
      <c r="J52" s="21"/>
      <c r="K52" s="21"/>
      <c r="L52" s="22"/>
    </row>
    <row r="53" spans="1:12" x14ac:dyDescent="0.25">
      <c r="A53" t="s">
        <v>530</v>
      </c>
      <c r="C53" s="22"/>
      <c r="D53" s="22"/>
      <c r="E53" s="22"/>
      <c r="F53" s="22"/>
      <c r="G53" s="22"/>
      <c r="H53" s="21"/>
      <c r="I53" s="21"/>
      <c r="J53" s="21"/>
      <c r="K53" s="21"/>
      <c r="L53" s="22"/>
    </row>
    <row r="54" spans="1:12" x14ac:dyDescent="0.25">
      <c r="A54" t="s">
        <v>18</v>
      </c>
      <c r="B54" s="7" t="s">
        <v>526</v>
      </c>
      <c r="C54" s="22"/>
      <c r="D54" s="22"/>
      <c r="E54" s="22"/>
      <c r="F54" s="22"/>
      <c r="G54" s="22"/>
      <c r="H54" s="21"/>
      <c r="I54" s="21"/>
      <c r="J54" s="21"/>
      <c r="K54" s="21"/>
      <c r="L54" s="22"/>
    </row>
    <row r="55" spans="1:12" x14ac:dyDescent="0.25">
      <c r="A55" t="s">
        <v>1308</v>
      </c>
      <c r="B55" s="7" t="s">
        <v>1309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1">
        <v>0</v>
      </c>
      <c r="I55" s="21"/>
      <c r="J55" s="21">
        <v>0</v>
      </c>
      <c r="K55" s="21">
        <v>0</v>
      </c>
      <c r="L55" s="22">
        <f>SUM(J55+K55)</f>
        <v>0</v>
      </c>
    </row>
    <row r="56" spans="1:12" x14ac:dyDescent="0.25">
      <c r="A56" t="s">
        <v>1310</v>
      </c>
      <c r="B56" s="7" t="s">
        <v>1311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1">
        <v>0</v>
      </c>
      <c r="I56" s="21"/>
      <c r="J56" s="21">
        <v>0</v>
      </c>
      <c r="K56" s="21">
        <v>0</v>
      </c>
      <c r="L56" s="22">
        <f t="shared" ref="L56:L57" si="6">SUM(J56+K56)</f>
        <v>0</v>
      </c>
    </row>
    <row r="57" spans="1:12" x14ac:dyDescent="0.25">
      <c r="A57" t="s">
        <v>1312</v>
      </c>
      <c r="B57" s="7" t="s">
        <v>1282</v>
      </c>
      <c r="C57" s="22">
        <v>0</v>
      </c>
      <c r="D57" s="22">
        <v>78000</v>
      </c>
      <c r="E57" s="22">
        <v>0</v>
      </c>
      <c r="F57" s="22">
        <v>145718</v>
      </c>
      <c r="G57" s="22">
        <v>133291.07</v>
      </c>
      <c r="H57" s="21">
        <v>133291</v>
      </c>
      <c r="I57" s="21"/>
      <c r="J57" s="21">
        <v>0</v>
      </c>
      <c r="K57" s="21">
        <v>0</v>
      </c>
      <c r="L57" s="22">
        <f t="shared" si="6"/>
        <v>0</v>
      </c>
    </row>
    <row r="58" spans="1:12" x14ac:dyDescent="0.25">
      <c r="C58" s="22"/>
      <c r="D58" s="22"/>
      <c r="E58" s="22"/>
      <c r="F58" s="22"/>
      <c r="G58" s="22"/>
      <c r="H58" s="21"/>
      <c r="I58" s="21"/>
      <c r="J58" s="21"/>
      <c r="K58" s="21"/>
      <c r="L58" s="22"/>
    </row>
    <row r="59" spans="1:12" x14ac:dyDescent="0.25">
      <c r="C59" s="22"/>
      <c r="D59" s="22"/>
      <c r="E59" s="22"/>
      <c r="F59" s="22"/>
      <c r="G59" s="22"/>
      <c r="H59" s="21"/>
      <c r="I59" s="21"/>
      <c r="J59" s="21"/>
      <c r="K59" s="21"/>
      <c r="L59" s="22"/>
    </row>
    <row r="60" spans="1:12" x14ac:dyDescent="0.25">
      <c r="A60" t="s">
        <v>109</v>
      </c>
      <c r="C60" s="22"/>
      <c r="D60" s="22"/>
      <c r="E60" s="22"/>
      <c r="F60" s="22"/>
      <c r="G60" s="22"/>
      <c r="H60" s="21"/>
      <c r="I60" s="21"/>
      <c r="J60" s="21"/>
      <c r="K60" s="21"/>
      <c r="L60" s="22"/>
    </row>
    <row r="61" spans="1:12" x14ac:dyDescent="0.25">
      <c r="B61" t="s">
        <v>530</v>
      </c>
      <c r="C61" s="20">
        <f t="shared" ref="C61:H61" si="7">SUM(C55:C57)</f>
        <v>0</v>
      </c>
      <c r="D61" s="20">
        <f t="shared" si="7"/>
        <v>78000</v>
      </c>
      <c r="E61" s="20">
        <f t="shared" si="7"/>
        <v>0</v>
      </c>
      <c r="F61" s="20">
        <f t="shared" si="7"/>
        <v>145718</v>
      </c>
      <c r="G61" s="20">
        <f t="shared" si="7"/>
        <v>133291.07</v>
      </c>
      <c r="H61" s="20">
        <f t="shared" si="7"/>
        <v>133291</v>
      </c>
      <c r="I61" s="20"/>
      <c r="J61" s="20">
        <f>SUM(J55:J57)</f>
        <v>0</v>
      </c>
      <c r="K61" s="20">
        <f>SUM(K55:K57)</f>
        <v>0</v>
      </c>
      <c r="L61" s="20">
        <f>SUM(L55:L57)</f>
        <v>0</v>
      </c>
    </row>
    <row r="62" spans="1:12" x14ac:dyDescent="0.25">
      <c r="C62" s="22"/>
      <c r="D62" s="22"/>
      <c r="E62" s="22"/>
      <c r="F62" s="22"/>
      <c r="G62" s="22"/>
      <c r="H62" s="21"/>
      <c r="I62" s="21"/>
      <c r="J62" s="21"/>
      <c r="K62" s="21"/>
      <c r="L62" s="22"/>
    </row>
    <row r="63" spans="1:12" x14ac:dyDescent="0.25">
      <c r="C63" s="22"/>
      <c r="D63" s="22"/>
      <c r="E63" s="22"/>
      <c r="F63" s="22"/>
      <c r="G63" s="22"/>
      <c r="H63" s="21"/>
      <c r="I63" s="21"/>
      <c r="J63" s="21"/>
      <c r="K63" s="21"/>
      <c r="L63" s="22"/>
    </row>
    <row r="64" spans="1:12" x14ac:dyDescent="0.25">
      <c r="A64" t="s">
        <v>109</v>
      </c>
      <c r="C64" s="22"/>
      <c r="D64" s="22"/>
      <c r="E64" s="22"/>
      <c r="F64" s="22"/>
      <c r="G64" s="22"/>
      <c r="H64" s="21"/>
      <c r="I64" s="21"/>
      <c r="J64" s="21"/>
      <c r="K64" s="21"/>
      <c r="L64" s="22"/>
    </row>
    <row r="65" spans="1:12" x14ac:dyDescent="0.25">
      <c r="A65">
        <v>31</v>
      </c>
      <c r="B65" t="s">
        <v>3684</v>
      </c>
      <c r="C65" s="20">
        <f t="shared" ref="C65:H65" si="8">C24+C35+C51+C61</f>
        <v>993482</v>
      </c>
      <c r="D65" s="20">
        <f t="shared" si="8"/>
        <v>1202774</v>
      </c>
      <c r="E65" s="20">
        <f t="shared" si="8"/>
        <v>1134736</v>
      </c>
      <c r="F65" s="20">
        <f t="shared" si="8"/>
        <v>1333171</v>
      </c>
      <c r="G65" s="20">
        <f t="shared" si="8"/>
        <v>1138050.82</v>
      </c>
      <c r="H65" s="20">
        <f t="shared" si="8"/>
        <v>1239275</v>
      </c>
      <c r="I65" s="20"/>
      <c r="J65" s="20">
        <f>J24+J35+J51+J61</f>
        <v>1207780.8</v>
      </c>
      <c r="K65" s="20">
        <f>K24+K35+K51+K61</f>
        <v>57859</v>
      </c>
      <c r="L65" s="20">
        <f>L24+L35+L51+L61</f>
        <v>1265639.8</v>
      </c>
    </row>
  </sheetData>
  <sheetProtection algorithmName="SHA-512" hashValue="i7g/jEYH64pXL1gMbTxREevoOf+3HFi9BA5ufsv6AtCVfGtHRY7oKGkWWBXfFLhZM+ESZj5YyZr1QT67GOXbYQ==" saltValue="zJm/PFdNW3C5pxjaFRnr0w==" spinCount="100000" sheet="1" objects="1" scenarios="1" insertRows="0"/>
  <pageMargins left="0.25" right="0.25" top="0.75" bottom="0.75" header="0.3" footer="0.3"/>
  <pageSetup scale="7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F8B23-FBCE-419F-AAA5-284CFA885750}">
  <sheetPr>
    <pageSetUpPr fitToPage="1"/>
  </sheetPr>
  <dimension ref="A1:L49"/>
  <sheetViews>
    <sheetView zoomScaleNormal="100" workbookViewId="0">
      <selection activeCell="A13" sqref="A13:XFD13"/>
    </sheetView>
  </sheetViews>
  <sheetFormatPr defaultRowHeight="15" x14ac:dyDescent="0.25"/>
  <cols>
    <col min="2" max="2" width="30.140625" bestFit="1" customWidth="1"/>
    <col min="3" max="3" width="13.28515625" bestFit="1" customWidth="1"/>
    <col min="4" max="4" width="15" bestFit="1" customWidth="1"/>
    <col min="5" max="5" width="11.5703125" bestFit="1" customWidth="1"/>
    <col min="6" max="6" width="14.140625" bestFit="1" customWidth="1"/>
    <col min="7" max="7" width="12.85546875" bestFit="1" customWidth="1"/>
    <col min="8" max="8" width="13.28515625" bestFit="1" customWidth="1"/>
    <col min="9" max="9" width="11.5703125" bestFit="1" customWidth="1"/>
    <col min="10" max="10" width="13.28515625" bestFit="1" customWidth="1"/>
    <col min="11" max="11" width="14.7109375" bestFit="1" customWidth="1"/>
    <col min="12" max="12" width="14.140625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3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2" x14ac:dyDescent="0.25">
      <c r="A8" t="s">
        <v>3685</v>
      </c>
    </row>
    <row r="11" spans="1:12" x14ac:dyDescent="0.25">
      <c r="A11" t="s">
        <v>478</v>
      </c>
    </row>
    <row r="12" spans="1:12" x14ac:dyDescent="0.25">
      <c r="A12" t="s">
        <v>18</v>
      </c>
      <c r="B12" t="s">
        <v>21</v>
      </c>
    </row>
    <row r="13" spans="1:12" hidden="1" x14ac:dyDescent="0.25">
      <c r="A13" t="s">
        <v>1316</v>
      </c>
      <c r="B13" t="s">
        <v>445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 t="shared" ref="L13:L19" si="0">SUM(J13+K13)</f>
        <v>0</v>
      </c>
    </row>
    <row r="14" spans="1:12" x14ac:dyDescent="0.25">
      <c r="A14" t="s">
        <v>1317</v>
      </c>
      <c r="B14" t="s">
        <v>1047</v>
      </c>
      <c r="C14" s="22">
        <v>13129</v>
      </c>
      <c r="D14" s="22">
        <v>21349</v>
      </c>
      <c r="E14" s="22">
        <v>14760</v>
      </c>
      <c r="F14" s="22">
        <v>21000</v>
      </c>
      <c r="G14" s="22">
        <v>11968.02</v>
      </c>
      <c r="H14" s="21">
        <v>15000</v>
      </c>
      <c r="I14" s="21"/>
      <c r="J14" s="21">
        <v>16000</v>
      </c>
      <c r="K14" s="21">
        <v>0</v>
      </c>
      <c r="L14" s="22">
        <f t="shared" si="0"/>
        <v>16000</v>
      </c>
    </row>
    <row r="15" spans="1:12" x14ac:dyDescent="0.25">
      <c r="A15" t="s">
        <v>1318</v>
      </c>
      <c r="B15" t="s">
        <v>1319</v>
      </c>
      <c r="C15" s="22">
        <v>972</v>
      </c>
      <c r="D15" s="22">
        <v>972</v>
      </c>
      <c r="E15" s="22">
        <v>940</v>
      </c>
      <c r="F15" s="22">
        <v>1400</v>
      </c>
      <c r="G15" s="22">
        <v>1417.88</v>
      </c>
      <c r="H15" s="21">
        <v>1800</v>
      </c>
      <c r="I15" s="21"/>
      <c r="J15" s="21">
        <v>1500</v>
      </c>
      <c r="K15" s="21">
        <v>0</v>
      </c>
      <c r="L15" s="22">
        <f t="shared" si="0"/>
        <v>1500</v>
      </c>
    </row>
    <row r="16" spans="1:12" x14ac:dyDescent="0.25">
      <c r="A16" t="s">
        <v>1320</v>
      </c>
      <c r="B16" t="s">
        <v>1321</v>
      </c>
      <c r="C16" s="22">
        <v>717</v>
      </c>
      <c r="D16" s="22">
        <v>704</v>
      </c>
      <c r="E16" s="22">
        <v>629</v>
      </c>
      <c r="F16" s="22">
        <v>700</v>
      </c>
      <c r="G16" s="22">
        <v>449.52</v>
      </c>
      <c r="H16" s="21">
        <v>600</v>
      </c>
      <c r="I16" s="21"/>
      <c r="J16" s="21">
        <v>600</v>
      </c>
      <c r="K16" s="21">
        <v>0</v>
      </c>
      <c r="L16" s="22">
        <f t="shared" si="0"/>
        <v>600</v>
      </c>
    </row>
    <row r="17" spans="1:12" x14ac:dyDescent="0.25">
      <c r="A17" t="s">
        <v>1322</v>
      </c>
      <c r="B17" t="s">
        <v>473</v>
      </c>
      <c r="C17" s="22">
        <v>3103</v>
      </c>
      <c r="D17" s="22">
        <v>2510</v>
      </c>
      <c r="E17" s="22">
        <v>3182</v>
      </c>
      <c r="F17" s="22">
        <v>47350</v>
      </c>
      <c r="G17" s="22">
        <v>27197.23</v>
      </c>
      <c r="H17" s="21">
        <v>27500</v>
      </c>
      <c r="I17" s="21"/>
      <c r="J17" s="21">
        <v>5000</v>
      </c>
      <c r="K17" s="21">
        <v>0</v>
      </c>
      <c r="L17" s="22">
        <f t="shared" si="0"/>
        <v>5000</v>
      </c>
    </row>
    <row r="18" spans="1:12" x14ac:dyDescent="0.25">
      <c r="A18" t="s">
        <v>1323</v>
      </c>
      <c r="B18" t="s">
        <v>1241</v>
      </c>
      <c r="C18" s="22">
        <v>3130</v>
      </c>
      <c r="D18" s="22">
        <v>6301</v>
      </c>
      <c r="E18" s="22">
        <v>4912</v>
      </c>
      <c r="F18" s="22">
        <v>0</v>
      </c>
      <c r="G18" s="22">
        <v>7118.78</v>
      </c>
      <c r="H18" s="21">
        <v>8000</v>
      </c>
      <c r="I18" s="21"/>
      <c r="J18" s="21">
        <v>0</v>
      </c>
      <c r="K18" s="21">
        <v>0</v>
      </c>
      <c r="L18" s="22">
        <f t="shared" si="0"/>
        <v>0</v>
      </c>
    </row>
    <row r="19" spans="1:12" x14ac:dyDescent="0.25">
      <c r="A19" t="s">
        <v>1324</v>
      </c>
      <c r="B19" t="s">
        <v>475</v>
      </c>
      <c r="C19" s="22">
        <v>16</v>
      </c>
      <c r="D19" s="22">
        <v>0</v>
      </c>
      <c r="E19" s="22">
        <v>1955</v>
      </c>
      <c r="F19" s="22">
        <v>500</v>
      </c>
      <c r="G19" s="22">
        <v>0</v>
      </c>
      <c r="H19" s="21">
        <v>250</v>
      </c>
      <c r="I19" s="21"/>
      <c r="J19" s="21">
        <v>250</v>
      </c>
      <c r="K19" s="21">
        <v>0</v>
      </c>
      <c r="L19" s="22">
        <f t="shared" si="0"/>
        <v>250</v>
      </c>
    </row>
    <row r="20" spans="1:12" x14ac:dyDescent="0.25"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x14ac:dyDescent="0.25"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x14ac:dyDescent="0.25">
      <c r="A22" t="s">
        <v>109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5">
      <c r="B23" t="s">
        <v>478</v>
      </c>
      <c r="C23" s="22">
        <f t="shared" ref="C23:H23" si="1">SUM(C13:C19)</f>
        <v>21067</v>
      </c>
      <c r="D23" s="22">
        <f t="shared" si="1"/>
        <v>31836</v>
      </c>
      <c r="E23" s="22">
        <f t="shared" si="1"/>
        <v>26378</v>
      </c>
      <c r="F23" s="22">
        <f t="shared" si="1"/>
        <v>70950</v>
      </c>
      <c r="G23" s="22">
        <f t="shared" si="1"/>
        <v>48151.43</v>
      </c>
      <c r="H23" s="22">
        <f t="shared" si="1"/>
        <v>53150</v>
      </c>
      <c r="I23" s="22"/>
      <c r="J23" s="22">
        <f>SUM(J13:J19)</f>
        <v>23350</v>
      </c>
      <c r="K23" s="22">
        <f>SUM(K13:K19)</f>
        <v>0</v>
      </c>
      <c r="L23" s="22">
        <f>SUM(L13:L19)</f>
        <v>23350</v>
      </c>
    </row>
    <row r="24" spans="1:12" x14ac:dyDescent="0.25"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x14ac:dyDescent="0.25">
      <c r="A25" t="s">
        <v>489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x14ac:dyDescent="0.25">
      <c r="A26" t="s">
        <v>18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x14ac:dyDescent="0.25">
      <c r="A27" t="s">
        <v>1325</v>
      </c>
      <c r="B27" t="s">
        <v>489</v>
      </c>
      <c r="C27" s="22">
        <v>0</v>
      </c>
      <c r="D27" s="22">
        <v>82</v>
      </c>
      <c r="E27" s="22">
        <v>0</v>
      </c>
      <c r="F27" s="22">
        <v>1000</v>
      </c>
      <c r="G27" s="22">
        <v>374.61</v>
      </c>
      <c r="H27" s="21">
        <v>600</v>
      </c>
      <c r="I27" s="21"/>
      <c r="J27" s="21">
        <v>600</v>
      </c>
      <c r="K27" s="21">
        <v>0</v>
      </c>
      <c r="L27" s="22">
        <f>SUM(J27+K27)</f>
        <v>600</v>
      </c>
    </row>
    <row r="28" spans="1:12" hidden="1" x14ac:dyDescent="0.25">
      <c r="A28" t="s">
        <v>1326</v>
      </c>
      <c r="B28" t="s">
        <v>498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>SUM(J28+K28)</f>
        <v>0</v>
      </c>
    </row>
    <row r="29" spans="1:12" hidden="1" x14ac:dyDescent="0.25">
      <c r="A29" t="s">
        <v>1327</v>
      </c>
      <c r="B29" t="s">
        <v>500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1">
        <v>0</v>
      </c>
      <c r="I29" s="21"/>
      <c r="J29" s="21">
        <v>0</v>
      </c>
      <c r="K29" s="21">
        <v>0</v>
      </c>
      <c r="L29" s="22">
        <f>SUM(J29+K29)</f>
        <v>0</v>
      </c>
    </row>
    <row r="30" spans="1:12" x14ac:dyDescent="0.25"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x14ac:dyDescent="0.25"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x14ac:dyDescent="0.25">
      <c r="A32" t="s">
        <v>109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x14ac:dyDescent="0.25">
      <c r="B33" t="s">
        <v>489</v>
      </c>
      <c r="C33" s="22">
        <f t="shared" ref="C33:H33" si="2">SUM(C27:C29)</f>
        <v>0</v>
      </c>
      <c r="D33" s="22">
        <f t="shared" si="2"/>
        <v>82</v>
      </c>
      <c r="E33" s="22">
        <f t="shared" si="2"/>
        <v>0</v>
      </c>
      <c r="F33" s="22">
        <f t="shared" si="2"/>
        <v>1000</v>
      </c>
      <c r="G33" s="22">
        <f t="shared" si="2"/>
        <v>374.61</v>
      </c>
      <c r="H33" s="22">
        <f t="shared" si="2"/>
        <v>600</v>
      </c>
      <c r="I33" s="22"/>
      <c r="J33" s="22">
        <f>SUM(J27:J29)</f>
        <v>600</v>
      </c>
      <c r="K33" s="22">
        <f>SUM(K27:K29)</f>
        <v>0</v>
      </c>
      <c r="L33" s="22">
        <f>SUM(L27:L29)</f>
        <v>600</v>
      </c>
    </row>
    <row r="34" spans="1:12" x14ac:dyDescent="0.25"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5">
      <c r="A35" t="s">
        <v>501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25">
      <c r="A36" t="s">
        <v>18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x14ac:dyDescent="0.25">
      <c r="A37" t="s">
        <v>1328</v>
      </c>
      <c r="B37" t="s">
        <v>509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1">
        <v>0</v>
      </c>
      <c r="I37" s="21"/>
      <c r="J37" s="21">
        <v>0</v>
      </c>
      <c r="K37" s="21">
        <v>0</v>
      </c>
      <c r="L37" s="22">
        <f>SUM(J37+K37)</f>
        <v>0</v>
      </c>
    </row>
    <row r="38" spans="1:12" x14ac:dyDescent="0.25">
      <c r="A38" t="s">
        <v>1329</v>
      </c>
      <c r="B38" t="s">
        <v>509</v>
      </c>
      <c r="C38" s="22">
        <v>13439</v>
      </c>
      <c r="D38" s="22">
        <v>14152</v>
      </c>
      <c r="E38" s="22">
        <v>17386</v>
      </c>
      <c r="F38" s="22">
        <v>17000</v>
      </c>
      <c r="G38" s="22">
        <v>16188.84</v>
      </c>
      <c r="H38" s="21">
        <v>19180</v>
      </c>
      <c r="I38" s="21"/>
      <c r="J38" s="21">
        <v>19180</v>
      </c>
      <c r="K38" s="21">
        <v>0</v>
      </c>
      <c r="L38" s="22">
        <f>SUM(J38+K38)</f>
        <v>19180</v>
      </c>
    </row>
    <row r="39" spans="1:12" x14ac:dyDescent="0.25">
      <c r="B39" t="s">
        <v>3686</v>
      </c>
      <c r="C39" s="22"/>
      <c r="D39" s="22"/>
      <c r="E39" s="22"/>
      <c r="F39" s="22"/>
      <c r="G39" s="22"/>
      <c r="H39" s="21"/>
      <c r="I39" s="21">
        <v>17964</v>
      </c>
      <c r="J39" s="21"/>
      <c r="K39" s="21"/>
      <c r="L39" s="22"/>
    </row>
    <row r="40" spans="1:12" x14ac:dyDescent="0.25">
      <c r="B40" t="s">
        <v>3687</v>
      </c>
      <c r="C40" s="22"/>
      <c r="D40" s="22"/>
      <c r="E40" s="22"/>
      <c r="F40" s="22"/>
      <c r="G40" s="22"/>
      <c r="H40" s="21"/>
      <c r="I40" s="21">
        <v>1216</v>
      </c>
      <c r="J40" s="21"/>
      <c r="K40" s="21"/>
      <c r="L40" s="22"/>
    </row>
    <row r="41" spans="1:12" x14ac:dyDescent="0.25">
      <c r="A41" t="s">
        <v>1330</v>
      </c>
      <c r="B41" t="s">
        <v>1331</v>
      </c>
      <c r="C41" s="22">
        <v>0</v>
      </c>
      <c r="D41" s="22">
        <v>0</v>
      </c>
      <c r="E41" s="22">
        <v>13692</v>
      </c>
      <c r="F41" s="22">
        <v>2000</v>
      </c>
      <c r="G41" s="22">
        <v>0</v>
      </c>
      <c r="H41" s="21">
        <v>2000</v>
      </c>
      <c r="I41" s="21"/>
      <c r="J41" s="21">
        <v>2000</v>
      </c>
      <c r="K41" s="21">
        <v>0</v>
      </c>
      <c r="L41" s="22">
        <f>SUM(J41+K41)</f>
        <v>2000</v>
      </c>
    </row>
    <row r="42" spans="1:12" x14ac:dyDescent="0.25"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5"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5">
      <c r="A44" t="s">
        <v>109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5">
      <c r="B45" t="s">
        <v>501</v>
      </c>
      <c r="C45" s="22">
        <f t="shared" ref="C45:H45" si="3">SUM(C37:C41)</f>
        <v>13439</v>
      </c>
      <c r="D45" s="22">
        <f t="shared" si="3"/>
        <v>14152</v>
      </c>
      <c r="E45" s="22">
        <f t="shared" si="3"/>
        <v>31078</v>
      </c>
      <c r="F45" s="22">
        <f t="shared" si="3"/>
        <v>19000</v>
      </c>
      <c r="G45" s="22">
        <f t="shared" si="3"/>
        <v>16188.84</v>
      </c>
      <c r="H45" s="22">
        <f t="shared" si="3"/>
        <v>21180</v>
      </c>
      <c r="I45" s="22"/>
      <c r="J45" s="22">
        <f>SUM(J37:J41)</f>
        <v>21180</v>
      </c>
      <c r="K45" s="22">
        <f>SUM(K37:K41)</f>
        <v>0</v>
      </c>
      <c r="L45" s="22">
        <f>SUM(L37:L41)</f>
        <v>21180</v>
      </c>
    </row>
    <row r="46" spans="1:12" x14ac:dyDescent="0.25"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x14ac:dyDescent="0.25"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x14ac:dyDescent="0.25">
      <c r="A48" t="s">
        <v>109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x14ac:dyDescent="0.25">
      <c r="A49">
        <v>32</v>
      </c>
      <c r="B49" t="s">
        <v>1867</v>
      </c>
      <c r="C49" s="22">
        <f t="shared" ref="C49:H49" si="4">C23+C33+C45</f>
        <v>34506</v>
      </c>
      <c r="D49" s="22">
        <f t="shared" si="4"/>
        <v>46070</v>
      </c>
      <c r="E49" s="22">
        <f t="shared" si="4"/>
        <v>57456</v>
      </c>
      <c r="F49" s="22">
        <f t="shared" si="4"/>
        <v>90950</v>
      </c>
      <c r="G49" s="22">
        <f t="shared" si="4"/>
        <v>64714.880000000005</v>
      </c>
      <c r="H49" s="22">
        <f t="shared" si="4"/>
        <v>74930</v>
      </c>
      <c r="I49" s="22"/>
      <c r="J49" s="22">
        <f>J23+J33+J45</f>
        <v>45130</v>
      </c>
      <c r="K49" s="22">
        <f>K23+K33+K45</f>
        <v>0</v>
      </c>
      <c r="L49" s="22">
        <f>L23+L33+L45</f>
        <v>45130</v>
      </c>
    </row>
  </sheetData>
  <sheetProtection algorithmName="SHA-512" hashValue="DLsg9NDBWYkz+vf7cwaRLQqQnfpe95c/AAWrvQMRSr2D397E72+S1ipjJgmySMsqi5Ftoj0ZyvU4sIh6OuinIg==" saltValue="6EFTiyaVKxfs8rZOcklw2A==" spinCount="100000" sheet="1" objects="1" scenarios="1" insertRows="0"/>
  <pageMargins left="0.25" right="0.25" top="0.75" bottom="0.75" header="0.3" footer="0.3"/>
  <pageSetup scale="77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0B16-13E6-4258-B18E-0561966A03AD}">
  <sheetPr>
    <pageSetUpPr fitToPage="1"/>
  </sheetPr>
  <dimension ref="A1:L115"/>
  <sheetViews>
    <sheetView zoomScaleNormal="100" workbookViewId="0">
      <selection activeCell="J17" sqref="J17"/>
    </sheetView>
  </sheetViews>
  <sheetFormatPr defaultRowHeight="15" x14ac:dyDescent="0.25"/>
  <cols>
    <col min="2" max="2" width="32.5703125" bestFit="1" customWidth="1"/>
    <col min="3" max="3" width="13.28515625" bestFit="1" customWidth="1"/>
    <col min="4" max="4" width="15" bestFit="1" customWidth="1"/>
    <col min="5" max="5" width="14" bestFit="1" customWidth="1"/>
    <col min="6" max="6" width="14.28515625" bestFit="1" customWidth="1"/>
    <col min="7" max="7" width="12.85546875" bestFit="1" customWidth="1"/>
    <col min="8" max="8" width="13.28515625" bestFit="1" customWidth="1"/>
    <col min="9" max="9" width="12.140625" bestFit="1" customWidth="1"/>
    <col min="10" max="10" width="13.28515625" bestFit="1" customWidth="1"/>
    <col min="11" max="11" width="14.7109375" bestFit="1" customWidth="1"/>
    <col min="12" max="12" width="14.140625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3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2" x14ac:dyDescent="0.25">
      <c r="A8" t="s">
        <v>3688</v>
      </c>
    </row>
    <row r="11" spans="1:12" x14ac:dyDescent="0.25">
      <c r="A11" t="s">
        <v>441</v>
      </c>
    </row>
    <row r="12" spans="1:12" x14ac:dyDescent="0.25">
      <c r="A12" t="s">
        <v>18</v>
      </c>
      <c r="B12" t="s">
        <v>228</v>
      </c>
    </row>
    <row r="13" spans="1:12" x14ac:dyDescent="0.25">
      <c r="A13" t="s">
        <v>1334</v>
      </c>
      <c r="B13" t="s">
        <v>569</v>
      </c>
      <c r="C13" s="22">
        <v>2326</v>
      </c>
      <c r="D13" s="22">
        <v>1919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 t="shared" ref="L13:L38" si="0">SUM(J13+K13)</f>
        <v>0</v>
      </c>
    </row>
    <row r="14" spans="1:12" x14ac:dyDescent="0.25">
      <c r="A14" t="s">
        <v>1335</v>
      </c>
      <c r="B14" t="s">
        <v>396</v>
      </c>
      <c r="C14" s="22">
        <v>37</v>
      </c>
      <c r="D14" s="22">
        <v>45</v>
      </c>
      <c r="E14" s="22">
        <v>625</v>
      </c>
      <c r="F14" s="22">
        <v>1260</v>
      </c>
      <c r="G14" s="22">
        <v>332.9</v>
      </c>
      <c r="H14" s="21">
        <v>333</v>
      </c>
      <c r="I14" s="21"/>
      <c r="J14" s="21">
        <v>315</v>
      </c>
      <c r="K14" s="21">
        <v>0</v>
      </c>
      <c r="L14" s="22">
        <f t="shared" si="0"/>
        <v>315</v>
      </c>
    </row>
    <row r="15" spans="1:12" x14ac:dyDescent="0.25">
      <c r="A15" t="s">
        <v>1336</v>
      </c>
      <c r="B15" t="s">
        <v>927</v>
      </c>
      <c r="C15" s="22">
        <v>14685</v>
      </c>
      <c r="D15" s="22">
        <v>22350</v>
      </c>
      <c r="E15" s="22">
        <v>17659</v>
      </c>
      <c r="F15" s="22">
        <v>22550</v>
      </c>
      <c r="G15" s="22">
        <v>8837.06</v>
      </c>
      <c r="H15" s="21">
        <v>9750</v>
      </c>
      <c r="I15" s="21"/>
      <c r="J15" s="21">
        <v>19948.34</v>
      </c>
      <c r="K15" s="21">
        <v>0</v>
      </c>
      <c r="L15" s="22">
        <f t="shared" si="0"/>
        <v>19948.34</v>
      </c>
    </row>
    <row r="16" spans="1:12" x14ac:dyDescent="0.25">
      <c r="A16" t="s">
        <v>1337</v>
      </c>
      <c r="B16" t="s">
        <v>400</v>
      </c>
      <c r="C16" s="22">
        <v>13337</v>
      </c>
      <c r="D16" s="22">
        <v>24252</v>
      </c>
      <c r="E16" s="22">
        <v>19816</v>
      </c>
      <c r="F16" s="22">
        <v>27974</v>
      </c>
      <c r="G16" s="22">
        <v>9878.52</v>
      </c>
      <c r="H16" s="21">
        <v>11850</v>
      </c>
      <c r="I16" s="21"/>
      <c r="J16" s="21">
        <f>5821.86+17847.68</f>
        <v>23669.54</v>
      </c>
      <c r="K16" s="21">
        <v>0</v>
      </c>
      <c r="L16" s="22">
        <f t="shared" si="0"/>
        <v>23669.54</v>
      </c>
    </row>
    <row r="17" spans="1:12" x14ac:dyDescent="0.25">
      <c r="A17" t="s">
        <v>1338</v>
      </c>
      <c r="B17" t="s">
        <v>402</v>
      </c>
      <c r="C17" s="22">
        <v>36952</v>
      </c>
      <c r="D17" s="22">
        <v>43851</v>
      </c>
      <c r="E17" s="22">
        <v>43368</v>
      </c>
      <c r="F17" s="22">
        <v>84123</v>
      </c>
      <c r="G17" s="22">
        <v>20740.16</v>
      </c>
      <c r="H17" s="21">
        <v>24500</v>
      </c>
      <c r="I17" s="21"/>
      <c r="J17" s="21">
        <v>70973.039999999994</v>
      </c>
      <c r="K17" s="21">
        <v>0</v>
      </c>
      <c r="L17" s="22">
        <f t="shared" si="0"/>
        <v>70973.039999999994</v>
      </c>
    </row>
    <row r="18" spans="1:12" x14ac:dyDescent="0.25">
      <c r="A18" t="s">
        <v>1339</v>
      </c>
      <c r="B18" t="s">
        <v>404</v>
      </c>
      <c r="C18" s="22">
        <v>1936</v>
      </c>
      <c r="D18" s="22">
        <v>2446</v>
      </c>
      <c r="E18" s="22">
        <v>2310</v>
      </c>
      <c r="F18" s="22">
        <v>3270</v>
      </c>
      <c r="G18" s="22">
        <v>1493.17</v>
      </c>
      <c r="H18" s="21">
        <v>3000</v>
      </c>
      <c r="I18" s="21"/>
      <c r="J18" s="21">
        <v>3600</v>
      </c>
      <c r="K18" s="21">
        <v>0</v>
      </c>
      <c r="L18" s="22">
        <f t="shared" si="0"/>
        <v>3600</v>
      </c>
    </row>
    <row r="19" spans="1:12" x14ac:dyDescent="0.25">
      <c r="A19" t="s">
        <v>1340</v>
      </c>
      <c r="B19" t="s">
        <v>406</v>
      </c>
      <c r="C19" s="22">
        <v>1059</v>
      </c>
      <c r="D19" s="22">
        <v>3373</v>
      </c>
      <c r="E19" s="22">
        <v>4284</v>
      </c>
      <c r="F19" s="22">
        <v>4712</v>
      </c>
      <c r="G19" s="22">
        <v>6622.49</v>
      </c>
      <c r="H19" s="21">
        <v>662</v>
      </c>
      <c r="I19" s="21"/>
      <c r="J19" s="21">
        <f>G19*10%+G19</f>
        <v>7284.7389999999996</v>
      </c>
      <c r="K19" s="21">
        <v>0</v>
      </c>
      <c r="L19" s="22">
        <f t="shared" si="0"/>
        <v>7284.7389999999996</v>
      </c>
    </row>
    <row r="20" spans="1:12" x14ac:dyDescent="0.25">
      <c r="A20" t="s">
        <v>1341</v>
      </c>
      <c r="B20" t="s">
        <v>1342</v>
      </c>
      <c r="C20" s="22">
        <v>0</v>
      </c>
      <c r="D20" s="22">
        <v>43713</v>
      </c>
      <c r="E20" s="22">
        <v>44319</v>
      </c>
      <c r="F20" s="22">
        <v>0</v>
      </c>
      <c r="G20" s="22">
        <v>3908.66</v>
      </c>
      <c r="H20" s="21">
        <v>3909</v>
      </c>
      <c r="I20" s="21"/>
      <c r="J20" s="21">
        <v>0</v>
      </c>
      <c r="K20" s="21">
        <v>0</v>
      </c>
      <c r="L20" s="22">
        <f t="shared" si="0"/>
        <v>0</v>
      </c>
    </row>
    <row r="21" spans="1:12" x14ac:dyDescent="0.25">
      <c r="A21" t="s">
        <v>1343</v>
      </c>
      <c r="B21" t="s">
        <v>422</v>
      </c>
      <c r="C21" s="22">
        <v>4200</v>
      </c>
      <c r="D21" s="22">
        <v>4200</v>
      </c>
      <c r="E21" s="22">
        <v>0</v>
      </c>
      <c r="F21" s="22">
        <v>4200</v>
      </c>
      <c r="G21" s="22">
        <v>0</v>
      </c>
      <c r="H21" s="21">
        <v>0</v>
      </c>
      <c r="I21" s="21"/>
      <c r="J21" s="21">
        <v>0</v>
      </c>
      <c r="K21" s="21">
        <v>0</v>
      </c>
      <c r="L21" s="22">
        <f t="shared" si="0"/>
        <v>0</v>
      </c>
    </row>
    <row r="22" spans="1:12" x14ac:dyDescent="0.25">
      <c r="A22" t="s">
        <v>1344</v>
      </c>
      <c r="B22" t="s">
        <v>690</v>
      </c>
      <c r="C22" s="22">
        <v>450</v>
      </c>
      <c r="D22" s="22">
        <v>311</v>
      </c>
      <c r="E22" s="22">
        <v>346</v>
      </c>
      <c r="F22" s="22">
        <v>381</v>
      </c>
      <c r="G22" s="22">
        <v>173.01</v>
      </c>
      <c r="H22" s="21">
        <v>173</v>
      </c>
      <c r="I22" s="21"/>
      <c r="J22" s="21">
        <v>173.01</v>
      </c>
      <c r="K22" s="21">
        <v>0</v>
      </c>
      <c r="L22" s="22">
        <f t="shared" si="0"/>
        <v>173.01</v>
      </c>
    </row>
    <row r="23" spans="1:12" x14ac:dyDescent="0.25">
      <c r="A23" t="s">
        <v>1345</v>
      </c>
      <c r="B23" t="s">
        <v>426</v>
      </c>
      <c r="C23" s="22">
        <v>1215</v>
      </c>
      <c r="D23" s="22">
        <v>1215</v>
      </c>
      <c r="E23" s="22">
        <v>1620</v>
      </c>
      <c r="F23" s="22">
        <v>2025</v>
      </c>
      <c r="G23" s="22">
        <v>415.22</v>
      </c>
      <c r="H23" s="21">
        <v>415</v>
      </c>
      <c r="I23" s="21"/>
      <c r="J23" s="21">
        <v>809.82</v>
      </c>
      <c r="K23" s="21">
        <v>0</v>
      </c>
      <c r="L23" s="22">
        <f t="shared" si="0"/>
        <v>809.82</v>
      </c>
    </row>
    <row r="24" spans="1:12" x14ac:dyDescent="0.25">
      <c r="A24" t="s">
        <v>1346</v>
      </c>
      <c r="B24" t="s">
        <v>1204</v>
      </c>
      <c r="C24" s="22">
        <v>720</v>
      </c>
      <c r="D24" s="22">
        <v>720</v>
      </c>
      <c r="E24" s="22">
        <v>540</v>
      </c>
      <c r="F24" s="22">
        <v>900</v>
      </c>
      <c r="G24" s="22">
        <v>179.95</v>
      </c>
      <c r="H24" s="21">
        <v>580</v>
      </c>
      <c r="I24" s="21"/>
      <c r="J24" s="21">
        <v>539.85</v>
      </c>
      <c r="K24" s="21">
        <v>0</v>
      </c>
      <c r="L24" s="22">
        <f t="shared" si="0"/>
        <v>539.85</v>
      </c>
    </row>
    <row r="25" spans="1:12" x14ac:dyDescent="0.25">
      <c r="A25" t="s">
        <v>1347</v>
      </c>
      <c r="B25" t="s">
        <v>428</v>
      </c>
      <c r="C25" s="22">
        <v>1192</v>
      </c>
      <c r="D25" s="22">
        <v>1200</v>
      </c>
      <c r="E25" s="22">
        <v>369</v>
      </c>
      <c r="F25" s="22">
        <v>1800</v>
      </c>
      <c r="G25" s="22">
        <v>0</v>
      </c>
      <c r="H25" s="21">
        <v>0</v>
      </c>
      <c r="I25" s="21"/>
      <c r="J25" s="21">
        <v>1800</v>
      </c>
      <c r="K25" s="21">
        <v>0</v>
      </c>
      <c r="L25" s="22">
        <f t="shared" si="0"/>
        <v>1800</v>
      </c>
    </row>
    <row r="26" spans="1:12" x14ac:dyDescent="0.25">
      <c r="A26" t="s">
        <v>1348</v>
      </c>
      <c r="B26" t="s">
        <v>430</v>
      </c>
      <c r="C26" s="22">
        <v>138</v>
      </c>
      <c r="D26" s="22">
        <v>104</v>
      </c>
      <c r="E26" s="22">
        <v>138</v>
      </c>
      <c r="F26" s="22">
        <v>173</v>
      </c>
      <c r="G26" s="22">
        <v>69.2</v>
      </c>
      <c r="H26" s="21">
        <v>69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1349</v>
      </c>
      <c r="B27" t="s">
        <v>432</v>
      </c>
      <c r="C27" s="22">
        <v>1663</v>
      </c>
      <c r="D27" s="22">
        <v>7536</v>
      </c>
      <c r="E27" s="22">
        <v>2838</v>
      </c>
      <c r="F27" s="22">
        <v>2500</v>
      </c>
      <c r="G27" s="22">
        <v>1102.49</v>
      </c>
      <c r="H27" s="21">
        <v>1400</v>
      </c>
      <c r="I27" s="21"/>
      <c r="J27" s="21">
        <v>1000</v>
      </c>
      <c r="K27" s="21">
        <v>0</v>
      </c>
      <c r="L27" s="22">
        <f t="shared" si="0"/>
        <v>1000</v>
      </c>
    </row>
    <row r="28" spans="1:12" x14ac:dyDescent="0.25">
      <c r="A28" t="s">
        <v>1350</v>
      </c>
      <c r="B28" t="s">
        <v>434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1351</v>
      </c>
      <c r="B29" t="s">
        <v>436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1">
        <v>0</v>
      </c>
      <c r="I29" s="21"/>
      <c r="J29" s="21">
        <v>0</v>
      </c>
      <c r="K29" s="21">
        <v>0</v>
      </c>
      <c r="L29" s="22">
        <f t="shared" si="0"/>
        <v>0</v>
      </c>
    </row>
    <row r="30" spans="1:12" x14ac:dyDescent="0.25">
      <c r="A30" t="s">
        <v>1352</v>
      </c>
      <c r="B30" t="s">
        <v>607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1">
        <v>0</v>
      </c>
      <c r="I30" s="21"/>
      <c r="J30" s="21">
        <v>0</v>
      </c>
      <c r="K30" s="21">
        <v>0</v>
      </c>
      <c r="L30" s="22">
        <f t="shared" si="0"/>
        <v>0</v>
      </c>
    </row>
    <row r="31" spans="1:12" x14ac:dyDescent="0.25">
      <c r="A31" t="s">
        <v>1353</v>
      </c>
      <c r="B31" t="s">
        <v>1354</v>
      </c>
      <c r="C31" s="22">
        <v>80484</v>
      </c>
      <c r="D31" s="22">
        <v>153370</v>
      </c>
      <c r="E31" s="22">
        <v>100508</v>
      </c>
      <c r="F31" s="22">
        <v>110063</v>
      </c>
      <c r="G31" s="22">
        <v>17759.759999999998</v>
      </c>
      <c r="H31" s="21">
        <v>31500</v>
      </c>
      <c r="I31" s="21"/>
      <c r="J31" s="21">
        <v>115000</v>
      </c>
      <c r="K31" s="21">
        <v>0</v>
      </c>
      <c r="L31" s="22">
        <f t="shared" si="0"/>
        <v>115000</v>
      </c>
    </row>
    <row r="32" spans="1:12" x14ac:dyDescent="0.25">
      <c r="A32" t="s">
        <v>1355</v>
      </c>
      <c r="B32" t="s">
        <v>1356</v>
      </c>
      <c r="C32" s="22">
        <v>0</v>
      </c>
      <c r="D32" s="22">
        <v>0</v>
      </c>
      <c r="E32" s="22">
        <v>0</v>
      </c>
      <c r="F32" s="22">
        <v>68250</v>
      </c>
      <c r="G32" s="22">
        <v>40780</v>
      </c>
      <c r="H32" s="21">
        <v>40780</v>
      </c>
      <c r="I32" s="21"/>
      <c r="J32" s="21">
        <v>0</v>
      </c>
      <c r="K32" s="21">
        <v>0</v>
      </c>
      <c r="L32" s="22">
        <f t="shared" si="0"/>
        <v>0</v>
      </c>
    </row>
    <row r="33" spans="1:12" x14ac:dyDescent="0.25">
      <c r="A33" t="s">
        <v>1357</v>
      </c>
      <c r="B33" t="s">
        <v>1358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1">
        <v>0</v>
      </c>
      <c r="I33" s="21"/>
      <c r="J33" s="21">
        <v>41600</v>
      </c>
      <c r="K33" s="21">
        <v>0</v>
      </c>
      <c r="L33" s="22">
        <f t="shared" si="0"/>
        <v>41600</v>
      </c>
    </row>
    <row r="34" spans="1:12" x14ac:dyDescent="0.25">
      <c r="A34" t="s">
        <v>1359</v>
      </c>
      <c r="B34" t="s">
        <v>1360</v>
      </c>
      <c r="C34" s="22">
        <v>73740</v>
      </c>
      <c r="D34" s="22">
        <v>80661</v>
      </c>
      <c r="E34" s="22">
        <v>73435</v>
      </c>
      <c r="F34" s="22">
        <v>85176</v>
      </c>
      <c r="G34" s="22">
        <v>51342.559999999998</v>
      </c>
      <c r="H34" s="21">
        <v>69600</v>
      </c>
      <c r="I34" s="21"/>
      <c r="J34" s="21">
        <v>118560</v>
      </c>
      <c r="K34" s="21">
        <v>0</v>
      </c>
      <c r="L34" s="22">
        <f t="shared" si="0"/>
        <v>118560</v>
      </c>
    </row>
    <row r="35" spans="1:12" x14ac:dyDescent="0.25">
      <c r="A35" t="s">
        <v>1361</v>
      </c>
      <c r="B35" t="s">
        <v>1362</v>
      </c>
      <c r="C35" s="22">
        <v>0</v>
      </c>
      <c r="D35" s="22">
        <v>0</v>
      </c>
      <c r="E35" s="22">
        <v>10610</v>
      </c>
      <c r="F35" s="22">
        <v>21840</v>
      </c>
      <c r="G35" s="22">
        <v>0</v>
      </c>
      <c r="H35" s="21">
        <v>0</v>
      </c>
      <c r="I35" s="21"/>
      <c r="J35" s="21">
        <v>0</v>
      </c>
      <c r="K35" s="21">
        <v>0</v>
      </c>
      <c r="L35" s="22">
        <f t="shared" si="0"/>
        <v>0</v>
      </c>
    </row>
    <row r="36" spans="1:12" hidden="1" x14ac:dyDescent="0.25">
      <c r="A36" t="s">
        <v>1363</v>
      </c>
      <c r="B36" t="s">
        <v>1364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1">
        <v>0</v>
      </c>
      <c r="I36" s="21"/>
      <c r="J36" s="21">
        <v>0</v>
      </c>
      <c r="K36" s="21">
        <v>0</v>
      </c>
      <c r="L36" s="22">
        <f t="shared" si="0"/>
        <v>0</v>
      </c>
    </row>
    <row r="37" spans="1:12" x14ac:dyDescent="0.25">
      <c r="A37" t="s">
        <v>1365</v>
      </c>
      <c r="B37" t="s">
        <v>1366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1">
        <v>0</v>
      </c>
      <c r="I37" s="21"/>
      <c r="J37" s="21">
        <v>0</v>
      </c>
      <c r="K37" s="21">
        <v>0</v>
      </c>
      <c r="L37" s="22">
        <f t="shared" si="0"/>
        <v>0</v>
      </c>
    </row>
    <row r="38" spans="1:12" x14ac:dyDescent="0.25">
      <c r="A38" t="s">
        <v>1367</v>
      </c>
      <c r="B38" t="s">
        <v>1221</v>
      </c>
      <c r="C38" s="22">
        <v>1200</v>
      </c>
      <c r="D38" s="22">
        <v>1875</v>
      </c>
      <c r="E38" s="22">
        <v>0</v>
      </c>
      <c r="F38" s="22">
        <v>0</v>
      </c>
      <c r="G38" s="22">
        <v>0</v>
      </c>
      <c r="H38" s="21">
        <v>0</v>
      </c>
      <c r="I38" s="21"/>
      <c r="J38" s="21">
        <v>0</v>
      </c>
      <c r="K38" s="21">
        <v>0</v>
      </c>
      <c r="L38" s="22">
        <f t="shared" si="0"/>
        <v>0</v>
      </c>
    </row>
    <row r="39" spans="1:12" x14ac:dyDescent="0.25"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5"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5">
      <c r="A41" t="s">
        <v>109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5">
      <c r="B42" t="s">
        <v>441</v>
      </c>
      <c r="C42" s="22">
        <f t="shared" ref="C42:G42" si="1">SUM(C13:C38)</f>
        <v>235334</v>
      </c>
      <c r="D42" s="22">
        <f t="shared" si="1"/>
        <v>393141</v>
      </c>
      <c r="E42" s="22">
        <f t="shared" si="1"/>
        <v>322785</v>
      </c>
      <c r="F42" s="22">
        <f t="shared" si="1"/>
        <v>441197</v>
      </c>
      <c r="G42" s="22">
        <f t="shared" si="1"/>
        <v>163635.14999999997</v>
      </c>
      <c r="H42" s="22">
        <f>SUM(H13:H38)</f>
        <v>198521</v>
      </c>
      <c r="I42" s="22"/>
      <c r="J42" s="22">
        <f>SUM(J13:J38)</f>
        <v>405273.33900000004</v>
      </c>
      <c r="K42" s="22">
        <f>SUM(K13:K38)</f>
        <v>0</v>
      </c>
      <c r="L42" s="22">
        <f>SUM(L13:L38)</f>
        <v>405273.33900000004</v>
      </c>
    </row>
    <row r="43" spans="1:12" x14ac:dyDescent="0.25"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5">
      <c r="A44" t="s">
        <v>478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5">
      <c r="A45" t="s">
        <v>18</v>
      </c>
      <c r="B45" t="s">
        <v>21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5">
      <c r="A46" t="s">
        <v>1368</v>
      </c>
      <c r="B46" t="s">
        <v>445</v>
      </c>
      <c r="C46" s="22">
        <v>900</v>
      </c>
      <c r="D46" s="22">
        <v>2615</v>
      </c>
      <c r="E46" s="22">
        <v>3240</v>
      </c>
      <c r="F46" s="22">
        <v>3564</v>
      </c>
      <c r="G46" s="22">
        <v>2865.61</v>
      </c>
      <c r="H46" s="21">
        <v>2865.61</v>
      </c>
      <c r="I46" s="21"/>
      <c r="J46" s="21">
        <f>G46*10%+G46</f>
        <v>3152.1710000000003</v>
      </c>
      <c r="K46" s="21">
        <v>0</v>
      </c>
      <c r="L46" s="22">
        <f t="shared" ref="L46:L63" si="2">SUM(J46+K46)</f>
        <v>3152.1710000000003</v>
      </c>
    </row>
    <row r="47" spans="1:12" x14ac:dyDescent="0.25">
      <c r="A47" t="s">
        <v>1369</v>
      </c>
      <c r="B47" t="s">
        <v>447</v>
      </c>
      <c r="C47" s="22">
        <v>964</v>
      </c>
      <c r="D47" s="22">
        <v>1083</v>
      </c>
      <c r="E47" s="22">
        <v>920</v>
      </c>
      <c r="F47" s="22">
        <v>4500</v>
      </c>
      <c r="G47" s="22">
        <v>647.71</v>
      </c>
      <c r="H47" s="21">
        <v>965</v>
      </c>
      <c r="I47" s="21"/>
      <c r="J47" s="21">
        <v>1500</v>
      </c>
      <c r="K47" s="21">
        <v>0</v>
      </c>
      <c r="L47" s="22">
        <f t="shared" si="2"/>
        <v>1500</v>
      </c>
    </row>
    <row r="48" spans="1:12" x14ac:dyDescent="0.25">
      <c r="A48" t="s">
        <v>1370</v>
      </c>
      <c r="B48" t="s">
        <v>449</v>
      </c>
      <c r="C48" s="22">
        <v>813</v>
      </c>
      <c r="D48" s="22">
        <v>525</v>
      </c>
      <c r="E48" s="22">
        <v>1800</v>
      </c>
      <c r="F48" s="22">
        <v>2000</v>
      </c>
      <c r="G48" s="22">
        <v>0</v>
      </c>
      <c r="H48" s="21">
        <v>0</v>
      </c>
      <c r="I48" s="21"/>
      <c r="J48" s="21">
        <v>0</v>
      </c>
      <c r="K48" s="21">
        <v>0</v>
      </c>
      <c r="L48" s="22">
        <f t="shared" si="2"/>
        <v>0</v>
      </c>
    </row>
    <row r="49" spans="1:12" x14ac:dyDescent="0.25">
      <c r="A49" t="s">
        <v>1371</v>
      </c>
      <c r="B49" t="s">
        <v>451</v>
      </c>
      <c r="C49" s="22">
        <v>744</v>
      </c>
      <c r="D49" s="22">
        <v>400</v>
      </c>
      <c r="E49" s="22">
        <v>160</v>
      </c>
      <c r="F49" s="22">
        <v>3000</v>
      </c>
      <c r="G49" s="22">
        <v>6.5</v>
      </c>
      <c r="H49" s="21">
        <v>1700</v>
      </c>
      <c r="I49" s="21"/>
      <c r="J49" s="21">
        <v>3000</v>
      </c>
      <c r="K49" s="21">
        <v>0</v>
      </c>
      <c r="L49" s="22">
        <f t="shared" si="2"/>
        <v>3000</v>
      </c>
    </row>
    <row r="50" spans="1:12" x14ac:dyDescent="0.25">
      <c r="A50" t="s">
        <v>1372</v>
      </c>
      <c r="B50" t="s">
        <v>1373</v>
      </c>
      <c r="C50" s="22">
        <v>0</v>
      </c>
      <c r="D50" s="22">
        <v>200</v>
      </c>
      <c r="E50" s="22">
        <v>0</v>
      </c>
      <c r="F50" s="22">
        <v>500</v>
      </c>
      <c r="G50" s="22">
        <v>0</v>
      </c>
      <c r="H50" s="21">
        <v>0</v>
      </c>
      <c r="I50" s="21"/>
      <c r="J50" s="21">
        <v>0</v>
      </c>
      <c r="K50" s="21">
        <v>0</v>
      </c>
      <c r="L50" s="22">
        <f t="shared" si="2"/>
        <v>0</v>
      </c>
    </row>
    <row r="51" spans="1:12" x14ac:dyDescent="0.25">
      <c r="A51" t="s">
        <v>1374</v>
      </c>
      <c r="B51" t="s">
        <v>457</v>
      </c>
      <c r="C51" s="22">
        <v>0</v>
      </c>
      <c r="D51" s="22">
        <v>0</v>
      </c>
      <c r="E51" s="22">
        <v>0</v>
      </c>
      <c r="F51" s="22">
        <v>1800</v>
      </c>
      <c r="G51" s="22">
        <v>0</v>
      </c>
      <c r="H51" s="21">
        <v>0</v>
      </c>
      <c r="I51" s="21"/>
      <c r="J51" s="21">
        <v>0</v>
      </c>
      <c r="K51" s="21">
        <v>0</v>
      </c>
      <c r="L51" s="22">
        <f t="shared" si="2"/>
        <v>0</v>
      </c>
    </row>
    <row r="52" spans="1:12" x14ac:dyDescent="0.25">
      <c r="A52" t="s">
        <v>1375</v>
      </c>
      <c r="B52" t="s">
        <v>465</v>
      </c>
      <c r="C52" s="22">
        <v>0</v>
      </c>
      <c r="D52" s="22">
        <v>0</v>
      </c>
      <c r="E52" s="22">
        <v>0</v>
      </c>
      <c r="F52" s="22">
        <v>27666</v>
      </c>
      <c r="G52" s="22">
        <v>21055</v>
      </c>
      <c r="H52" s="21">
        <v>27666</v>
      </c>
      <c r="I52" s="21"/>
      <c r="J52" s="24">
        <v>48000</v>
      </c>
      <c r="K52" s="21">
        <v>0</v>
      </c>
      <c r="L52" s="22">
        <f t="shared" si="2"/>
        <v>48000</v>
      </c>
    </row>
    <row r="53" spans="1:12" x14ac:dyDescent="0.25">
      <c r="A53" t="s">
        <v>1376</v>
      </c>
      <c r="B53" t="s">
        <v>471</v>
      </c>
      <c r="C53" s="22">
        <v>289</v>
      </c>
      <c r="D53" s="22">
        <v>63</v>
      </c>
      <c r="E53" s="22">
        <v>275</v>
      </c>
      <c r="F53" s="22">
        <v>400</v>
      </c>
      <c r="G53" s="22">
        <v>393.5</v>
      </c>
      <c r="H53" s="21">
        <v>475</v>
      </c>
      <c r="I53" s="21"/>
      <c r="J53" s="21">
        <v>400</v>
      </c>
      <c r="K53" s="21">
        <v>0</v>
      </c>
      <c r="L53" s="22">
        <f t="shared" si="2"/>
        <v>400</v>
      </c>
    </row>
    <row r="54" spans="1:12" x14ac:dyDescent="0.25">
      <c r="A54" t="s">
        <v>1377</v>
      </c>
      <c r="B54" t="s">
        <v>1047</v>
      </c>
      <c r="C54" s="22">
        <v>2227</v>
      </c>
      <c r="D54" s="22">
        <v>2119</v>
      </c>
      <c r="E54" s="22">
        <v>2215</v>
      </c>
      <c r="F54" s="22">
        <v>2500</v>
      </c>
      <c r="G54" s="22">
        <v>2152.33</v>
      </c>
      <c r="H54" s="21">
        <v>2500</v>
      </c>
      <c r="I54" s="21"/>
      <c r="J54" s="21">
        <v>2500</v>
      </c>
      <c r="K54" s="21">
        <v>0</v>
      </c>
      <c r="L54" s="22">
        <f t="shared" si="2"/>
        <v>2500</v>
      </c>
    </row>
    <row r="55" spans="1:12" x14ac:dyDescent="0.25">
      <c r="A55" t="s">
        <v>1378</v>
      </c>
      <c r="B55" t="s">
        <v>1049</v>
      </c>
      <c r="C55" s="22">
        <v>65980</v>
      </c>
      <c r="D55" s="22">
        <v>54199</v>
      </c>
      <c r="E55" s="22">
        <v>23509</v>
      </c>
      <c r="F55" s="22">
        <v>40000</v>
      </c>
      <c r="G55" s="22">
        <v>51229.57</v>
      </c>
      <c r="H55" s="21">
        <v>54000</v>
      </c>
      <c r="I55" s="21"/>
      <c r="J55" s="21">
        <v>55000</v>
      </c>
      <c r="K55" s="21">
        <v>0</v>
      </c>
      <c r="L55" s="22">
        <f t="shared" si="2"/>
        <v>55000</v>
      </c>
    </row>
    <row r="56" spans="1:12" x14ac:dyDescent="0.25">
      <c r="A56" t="s">
        <v>1379</v>
      </c>
      <c r="B56" t="s">
        <v>1051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1">
        <v>0</v>
      </c>
      <c r="I56" s="21"/>
      <c r="J56" s="21">
        <v>0</v>
      </c>
      <c r="K56" s="21">
        <v>0</v>
      </c>
      <c r="L56" s="22">
        <f t="shared" si="2"/>
        <v>0</v>
      </c>
    </row>
    <row r="57" spans="1:12" x14ac:dyDescent="0.25">
      <c r="A57" t="s">
        <v>1380</v>
      </c>
      <c r="B57" t="s">
        <v>473</v>
      </c>
      <c r="C57" s="22">
        <v>1085</v>
      </c>
      <c r="D57" s="22">
        <v>3668</v>
      </c>
      <c r="E57" s="22">
        <v>13331</v>
      </c>
      <c r="F57" s="22">
        <v>14000</v>
      </c>
      <c r="G57" s="22">
        <v>27076.99</v>
      </c>
      <c r="H57" s="24">
        <v>27100</v>
      </c>
      <c r="I57" s="21"/>
      <c r="J57" s="21">
        <v>15000</v>
      </c>
      <c r="K57" s="21">
        <v>0</v>
      </c>
      <c r="L57" s="22">
        <f t="shared" si="2"/>
        <v>15000</v>
      </c>
    </row>
    <row r="58" spans="1:12" x14ac:dyDescent="0.25">
      <c r="A58" t="s">
        <v>1381</v>
      </c>
      <c r="B58" t="s">
        <v>1241</v>
      </c>
      <c r="C58" s="22">
        <v>5351</v>
      </c>
      <c r="D58" s="22">
        <v>1050</v>
      </c>
      <c r="E58" s="22">
        <v>0</v>
      </c>
      <c r="F58" s="22">
        <v>0</v>
      </c>
      <c r="G58" s="22">
        <v>0</v>
      </c>
      <c r="H58" s="21">
        <v>0</v>
      </c>
      <c r="I58" s="21"/>
      <c r="J58" s="21">
        <v>0</v>
      </c>
      <c r="K58" s="21">
        <v>0</v>
      </c>
      <c r="L58" s="22">
        <f t="shared" si="2"/>
        <v>0</v>
      </c>
    </row>
    <row r="59" spans="1:12" x14ac:dyDescent="0.25">
      <c r="A59" t="s">
        <v>1382</v>
      </c>
      <c r="B59" t="s">
        <v>626</v>
      </c>
      <c r="C59" s="22">
        <v>1929</v>
      </c>
      <c r="D59" s="22">
        <v>6317</v>
      </c>
      <c r="E59" s="22">
        <v>10709</v>
      </c>
      <c r="F59" s="22">
        <v>5000</v>
      </c>
      <c r="G59" s="22">
        <v>1060.55</v>
      </c>
      <c r="H59" s="21">
        <v>2500</v>
      </c>
      <c r="I59" s="21"/>
      <c r="J59" s="21">
        <v>3000</v>
      </c>
      <c r="K59" s="21">
        <v>0</v>
      </c>
      <c r="L59" s="22">
        <f t="shared" si="2"/>
        <v>3000</v>
      </c>
    </row>
    <row r="60" spans="1:12" x14ac:dyDescent="0.25">
      <c r="A60" t="s">
        <v>1383</v>
      </c>
      <c r="B60" t="s">
        <v>1246</v>
      </c>
      <c r="C60" s="22">
        <v>0</v>
      </c>
      <c r="D60" s="22">
        <v>0</v>
      </c>
      <c r="E60" s="22">
        <v>785</v>
      </c>
      <c r="F60" s="22">
        <v>18000</v>
      </c>
      <c r="G60" s="22">
        <v>2463.8200000000002</v>
      </c>
      <c r="H60" s="21">
        <v>3000</v>
      </c>
      <c r="I60" s="21"/>
      <c r="J60" s="21">
        <v>2500</v>
      </c>
      <c r="K60" s="21">
        <v>0</v>
      </c>
      <c r="L60" s="22">
        <f t="shared" si="2"/>
        <v>2500</v>
      </c>
    </row>
    <row r="61" spans="1:12" x14ac:dyDescent="0.25">
      <c r="A61" t="s">
        <v>1384</v>
      </c>
      <c r="B61" t="s">
        <v>475</v>
      </c>
      <c r="C61" s="22">
        <v>3572</v>
      </c>
      <c r="D61" s="22">
        <v>1314</v>
      </c>
      <c r="E61" s="22">
        <v>315</v>
      </c>
      <c r="F61" s="22">
        <v>0</v>
      </c>
      <c r="G61" s="22">
        <v>1343.07</v>
      </c>
      <c r="H61" s="21">
        <v>1350</v>
      </c>
      <c r="I61" s="21"/>
      <c r="J61" s="21">
        <v>2500</v>
      </c>
      <c r="K61" s="21">
        <v>0</v>
      </c>
      <c r="L61" s="22">
        <f t="shared" si="2"/>
        <v>2500</v>
      </c>
    </row>
    <row r="62" spans="1:12" hidden="1" x14ac:dyDescent="0.25">
      <c r="A62" t="s">
        <v>1386</v>
      </c>
      <c r="B62" t="s">
        <v>1387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1">
        <v>0</v>
      </c>
      <c r="I62" s="21"/>
      <c r="J62" s="21">
        <v>0</v>
      </c>
      <c r="K62" s="21">
        <v>0</v>
      </c>
      <c r="L62" s="22">
        <f t="shared" si="2"/>
        <v>0</v>
      </c>
    </row>
    <row r="63" spans="1:12" x14ac:dyDescent="0.25">
      <c r="A63" t="s">
        <v>1388</v>
      </c>
      <c r="B63" t="s">
        <v>1389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1">
        <v>0</v>
      </c>
      <c r="I63" s="21"/>
      <c r="J63" s="21">
        <v>0</v>
      </c>
      <c r="K63" s="21">
        <v>0</v>
      </c>
      <c r="L63" s="22">
        <f t="shared" si="2"/>
        <v>0</v>
      </c>
    </row>
    <row r="64" spans="1:12" x14ac:dyDescent="0.25"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x14ac:dyDescent="0.25"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1:12" x14ac:dyDescent="0.25">
      <c r="A66" t="s">
        <v>109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1:12" x14ac:dyDescent="0.25">
      <c r="B67" t="s">
        <v>478</v>
      </c>
      <c r="C67" s="22">
        <f t="shared" ref="C67:H67" si="3">SUM(C46:C63)</f>
        <v>83854</v>
      </c>
      <c r="D67" s="22">
        <f t="shared" si="3"/>
        <v>73553</v>
      </c>
      <c r="E67" s="22">
        <f t="shared" si="3"/>
        <v>57259</v>
      </c>
      <c r="F67" s="22">
        <f t="shared" si="3"/>
        <v>122930</v>
      </c>
      <c r="G67" s="22">
        <f t="shared" si="3"/>
        <v>110294.65000000002</v>
      </c>
      <c r="H67" s="22">
        <f t="shared" si="3"/>
        <v>124121.61</v>
      </c>
      <c r="I67" s="22"/>
      <c r="J67" s="22">
        <f>SUM(J46:J63)</f>
        <v>136552.171</v>
      </c>
      <c r="K67" s="22">
        <f>SUM(K46:K63)</f>
        <v>0</v>
      </c>
      <c r="L67" s="22">
        <f>SUM(L46:L63)</f>
        <v>136552.171</v>
      </c>
    </row>
    <row r="68" spans="1:12" x14ac:dyDescent="0.25"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1:12" x14ac:dyDescent="0.25">
      <c r="A69" t="s">
        <v>489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x14ac:dyDescent="0.25">
      <c r="A70" t="s">
        <v>18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x14ac:dyDescent="0.25">
      <c r="A71" t="s">
        <v>1390</v>
      </c>
      <c r="B71" t="s">
        <v>493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1">
        <v>0</v>
      </c>
      <c r="I71" s="21"/>
      <c r="J71" s="21">
        <v>0</v>
      </c>
      <c r="K71" s="21">
        <v>0</v>
      </c>
      <c r="L71" s="22">
        <f t="shared" ref="L71:L77" si="4">SUM(J71+K71)</f>
        <v>0</v>
      </c>
    </row>
    <row r="72" spans="1:12" x14ac:dyDescent="0.25">
      <c r="A72" t="s">
        <v>1391</v>
      </c>
      <c r="B72" t="s">
        <v>489</v>
      </c>
      <c r="C72" s="22">
        <v>12421</v>
      </c>
      <c r="D72" s="22">
        <v>12434</v>
      </c>
      <c r="E72" s="22">
        <v>8851</v>
      </c>
      <c r="F72" s="22">
        <v>18500</v>
      </c>
      <c r="G72" s="22">
        <v>14125.25</v>
      </c>
      <c r="H72" s="21">
        <v>18500</v>
      </c>
      <c r="I72" s="21"/>
      <c r="J72" s="21">
        <v>16000</v>
      </c>
      <c r="K72" s="21">
        <v>0</v>
      </c>
      <c r="L72" s="22">
        <f t="shared" si="4"/>
        <v>16000</v>
      </c>
    </row>
    <row r="73" spans="1:12" x14ac:dyDescent="0.25">
      <c r="A73" t="s">
        <v>1392</v>
      </c>
      <c r="B73" t="s">
        <v>1252</v>
      </c>
      <c r="C73" s="22">
        <v>1755</v>
      </c>
      <c r="D73" s="22">
        <v>0</v>
      </c>
      <c r="E73" s="22">
        <v>1549</v>
      </c>
      <c r="F73" s="22">
        <v>5500</v>
      </c>
      <c r="G73" s="22">
        <v>4216.47</v>
      </c>
      <c r="H73" s="21">
        <v>5500</v>
      </c>
      <c r="I73" s="21"/>
      <c r="J73" s="21">
        <v>6000</v>
      </c>
      <c r="K73" s="21">
        <v>0</v>
      </c>
      <c r="L73" s="22">
        <f t="shared" si="4"/>
        <v>6000</v>
      </c>
    </row>
    <row r="74" spans="1:12" x14ac:dyDescent="0.25">
      <c r="A74" t="s">
        <v>1393</v>
      </c>
      <c r="B74" t="s">
        <v>496</v>
      </c>
      <c r="C74" s="22">
        <v>7265</v>
      </c>
      <c r="D74" s="22">
        <v>4898</v>
      </c>
      <c r="E74" s="22">
        <v>4549</v>
      </c>
      <c r="F74" s="22">
        <v>17500</v>
      </c>
      <c r="G74" s="22">
        <v>2939.14</v>
      </c>
      <c r="H74" s="21">
        <v>4400</v>
      </c>
      <c r="I74" s="21"/>
      <c r="J74" s="21">
        <v>13000</v>
      </c>
      <c r="K74" s="21">
        <v>0</v>
      </c>
      <c r="L74" s="22">
        <f t="shared" si="4"/>
        <v>13000</v>
      </c>
    </row>
    <row r="75" spans="1:12" x14ac:dyDescent="0.25">
      <c r="A75" t="s">
        <v>1394</v>
      </c>
      <c r="B75" t="s">
        <v>1259</v>
      </c>
      <c r="C75" s="22">
        <v>0</v>
      </c>
      <c r="D75" s="22">
        <v>1483</v>
      </c>
      <c r="E75" s="22">
        <v>1367</v>
      </c>
      <c r="F75" s="22">
        <v>5000</v>
      </c>
      <c r="G75" s="22">
        <v>984.4</v>
      </c>
      <c r="H75" s="21">
        <v>1200</v>
      </c>
      <c r="I75" s="21"/>
      <c r="J75" s="23">
        <v>2500</v>
      </c>
      <c r="K75" s="21">
        <v>0</v>
      </c>
      <c r="L75" s="22">
        <f t="shared" si="4"/>
        <v>2500</v>
      </c>
    </row>
    <row r="76" spans="1:12" hidden="1" x14ac:dyDescent="0.25">
      <c r="A76" t="s">
        <v>1395</v>
      </c>
      <c r="B76" t="s">
        <v>498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1">
        <v>0</v>
      </c>
      <c r="I76" s="21"/>
      <c r="J76" s="21">
        <v>0</v>
      </c>
      <c r="K76" s="21">
        <v>0</v>
      </c>
      <c r="L76" s="22">
        <f t="shared" si="4"/>
        <v>0</v>
      </c>
    </row>
    <row r="77" spans="1:12" hidden="1" x14ac:dyDescent="0.25">
      <c r="A77" t="s">
        <v>1396</v>
      </c>
      <c r="B77" t="s">
        <v>500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1">
        <v>0</v>
      </c>
      <c r="I77" s="21"/>
      <c r="J77" s="21">
        <v>0</v>
      </c>
      <c r="K77" s="21">
        <v>0</v>
      </c>
      <c r="L77" s="22">
        <f t="shared" si="4"/>
        <v>0</v>
      </c>
    </row>
    <row r="78" spans="1:12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2" x14ac:dyDescent="0.25"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x14ac:dyDescent="0.25">
      <c r="A80" t="s">
        <v>109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x14ac:dyDescent="0.25">
      <c r="B81" t="s">
        <v>489</v>
      </c>
      <c r="C81" s="22">
        <f t="shared" ref="C81:H81" si="5">SUM(C71:C77)</f>
        <v>21441</v>
      </c>
      <c r="D81" s="22">
        <f t="shared" si="5"/>
        <v>18815</v>
      </c>
      <c r="E81" s="22">
        <f t="shared" si="5"/>
        <v>16316</v>
      </c>
      <c r="F81" s="22">
        <f t="shared" si="5"/>
        <v>46500</v>
      </c>
      <c r="G81" s="22">
        <f t="shared" si="5"/>
        <v>22265.260000000002</v>
      </c>
      <c r="H81" s="22">
        <f t="shared" si="5"/>
        <v>29600</v>
      </c>
      <c r="I81" s="22"/>
      <c r="J81" s="22">
        <f>SUM(J71:J77)</f>
        <v>37500</v>
      </c>
      <c r="K81" s="22">
        <f>SUM(K71:K77)</f>
        <v>0</v>
      </c>
      <c r="L81" s="22">
        <f>SUM(L71:L77)</f>
        <v>37500</v>
      </c>
    </row>
    <row r="82" spans="1:12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1:12" x14ac:dyDescent="0.25">
      <c r="A83" t="s">
        <v>501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1:12" x14ac:dyDescent="0.25">
      <c r="A84" t="s">
        <v>18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1:12" x14ac:dyDescent="0.25">
      <c r="A85" t="s">
        <v>1397</v>
      </c>
      <c r="B85" t="s">
        <v>503</v>
      </c>
      <c r="C85" s="22">
        <v>5903</v>
      </c>
      <c r="D85" s="22">
        <v>700</v>
      </c>
      <c r="E85" s="22">
        <v>0</v>
      </c>
      <c r="F85" s="22">
        <v>0</v>
      </c>
      <c r="G85" s="22">
        <v>1000</v>
      </c>
      <c r="H85" s="21">
        <v>1000</v>
      </c>
      <c r="I85" s="21"/>
      <c r="J85" s="21">
        <v>1000</v>
      </c>
      <c r="K85" s="21">
        <v>0</v>
      </c>
      <c r="L85" s="22">
        <f t="shared" ref="L85:L88" si="6">SUM(J85+K85)</f>
        <v>1000</v>
      </c>
    </row>
    <row r="86" spans="1:12" x14ac:dyDescent="0.25">
      <c r="A86" t="s">
        <v>1398</v>
      </c>
      <c r="B86" t="s">
        <v>509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1">
        <v>0</v>
      </c>
      <c r="I86" s="21"/>
      <c r="J86" s="21">
        <v>0</v>
      </c>
      <c r="K86" s="21">
        <v>0</v>
      </c>
      <c r="L86" s="22">
        <f t="shared" si="6"/>
        <v>0</v>
      </c>
    </row>
    <row r="87" spans="1:12" x14ac:dyDescent="0.25">
      <c r="A87" t="s">
        <v>1399</v>
      </c>
      <c r="B87" t="s">
        <v>519</v>
      </c>
      <c r="C87" s="22">
        <v>1500</v>
      </c>
      <c r="D87" s="22">
        <v>0</v>
      </c>
      <c r="E87" s="22">
        <v>0</v>
      </c>
      <c r="F87" s="22">
        <v>0</v>
      </c>
      <c r="G87" s="22">
        <v>0</v>
      </c>
      <c r="H87" s="21">
        <v>0</v>
      </c>
      <c r="I87" s="21"/>
      <c r="J87" s="21">
        <v>0</v>
      </c>
      <c r="K87" s="21">
        <v>0</v>
      </c>
      <c r="L87" s="22">
        <f t="shared" si="6"/>
        <v>0</v>
      </c>
    </row>
    <row r="88" spans="1:12" x14ac:dyDescent="0.25">
      <c r="A88" t="s">
        <v>1400</v>
      </c>
      <c r="B88" t="s">
        <v>521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1">
        <v>0</v>
      </c>
      <c r="I88" s="21"/>
      <c r="J88" s="21">
        <v>0</v>
      </c>
      <c r="K88" s="21">
        <v>0</v>
      </c>
      <c r="L88" s="22">
        <f t="shared" si="6"/>
        <v>0</v>
      </c>
    </row>
    <row r="89" spans="1:12" x14ac:dyDescent="0.25"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 spans="1:12" x14ac:dyDescent="0.25"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1:12" x14ac:dyDescent="0.25">
      <c r="A91" t="s">
        <v>109</v>
      </c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1:12" x14ac:dyDescent="0.25">
      <c r="B92" t="s">
        <v>501</v>
      </c>
      <c r="C92" s="22">
        <f t="shared" ref="C92:H92" si="7">SUM(C85:C88)</f>
        <v>7403</v>
      </c>
      <c r="D92" s="22">
        <f t="shared" si="7"/>
        <v>700</v>
      </c>
      <c r="E92" s="22">
        <f t="shared" si="7"/>
        <v>0</v>
      </c>
      <c r="F92" s="22">
        <f t="shared" si="7"/>
        <v>0</v>
      </c>
      <c r="G92" s="22">
        <f t="shared" si="7"/>
        <v>1000</v>
      </c>
      <c r="H92" s="22">
        <f t="shared" si="7"/>
        <v>1000</v>
      </c>
      <c r="I92" s="22"/>
      <c r="J92" s="22">
        <f>SUM(J85:J88)</f>
        <v>1000</v>
      </c>
      <c r="K92" s="22">
        <f>SUM(K85:K88)</f>
        <v>0</v>
      </c>
      <c r="L92" s="22">
        <f>SUM(L85:L88)</f>
        <v>1000</v>
      </c>
    </row>
    <row r="93" spans="1:12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1:12" x14ac:dyDescent="0.25">
      <c r="A94" t="s">
        <v>530</v>
      </c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1:12" x14ac:dyDescent="0.25">
      <c r="A95" t="s">
        <v>18</v>
      </c>
      <c r="B95" t="s">
        <v>526</v>
      </c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1:12" x14ac:dyDescent="0.25">
      <c r="A96" t="s">
        <v>1401</v>
      </c>
      <c r="B96" t="s">
        <v>530</v>
      </c>
      <c r="C96" s="22">
        <v>15634</v>
      </c>
      <c r="D96" s="22">
        <v>0</v>
      </c>
      <c r="E96" s="22">
        <v>0</v>
      </c>
      <c r="F96" s="22">
        <v>0</v>
      </c>
      <c r="G96" s="22">
        <v>0</v>
      </c>
      <c r="H96" s="21">
        <v>0</v>
      </c>
      <c r="I96" s="21"/>
      <c r="J96" s="21">
        <v>0</v>
      </c>
      <c r="K96" s="21">
        <v>85000</v>
      </c>
      <c r="L96" s="22">
        <f t="shared" ref="L96:L107" si="8">SUM(J96+K96)</f>
        <v>85000</v>
      </c>
    </row>
    <row r="97" spans="1:12" x14ac:dyDescent="0.25">
      <c r="B97" t="s">
        <v>3689</v>
      </c>
      <c r="C97" s="22"/>
      <c r="D97" s="22"/>
      <c r="E97" s="22"/>
      <c r="F97" s="22"/>
      <c r="G97" s="22"/>
      <c r="H97" s="21"/>
      <c r="I97" s="21">
        <v>20000</v>
      </c>
      <c r="J97" s="21"/>
      <c r="K97" s="21"/>
      <c r="L97" s="22"/>
    </row>
    <row r="98" spans="1:12" x14ac:dyDescent="0.25">
      <c r="B98" t="s">
        <v>3690</v>
      </c>
      <c r="C98" s="22"/>
      <c r="D98" s="22"/>
      <c r="E98" s="22"/>
      <c r="F98" s="22"/>
      <c r="G98" s="22"/>
      <c r="H98" s="21"/>
      <c r="I98" s="21">
        <v>65000</v>
      </c>
      <c r="J98" s="21"/>
      <c r="K98" s="21"/>
      <c r="L98" s="22"/>
    </row>
    <row r="99" spans="1:12" x14ac:dyDescent="0.25">
      <c r="A99" t="s">
        <v>1402</v>
      </c>
      <c r="B99" t="s">
        <v>530</v>
      </c>
      <c r="C99" s="22">
        <v>0</v>
      </c>
      <c r="D99" s="22">
        <v>7153</v>
      </c>
      <c r="E99" s="22">
        <v>0</v>
      </c>
      <c r="F99" s="22">
        <v>0</v>
      </c>
      <c r="G99" s="22">
        <v>0</v>
      </c>
      <c r="H99" s="21">
        <v>0</v>
      </c>
      <c r="I99" s="21"/>
      <c r="J99" s="21">
        <v>0</v>
      </c>
      <c r="K99" s="21">
        <v>0</v>
      </c>
      <c r="L99" s="22">
        <f t="shared" si="8"/>
        <v>0</v>
      </c>
    </row>
    <row r="100" spans="1:12" x14ac:dyDescent="0.25">
      <c r="A100" t="s">
        <v>1403</v>
      </c>
      <c r="B100" t="s">
        <v>1404</v>
      </c>
      <c r="C100" s="22">
        <v>0</v>
      </c>
      <c r="D100" s="22">
        <v>0</v>
      </c>
      <c r="E100" s="22">
        <v>0</v>
      </c>
      <c r="F100" s="22">
        <v>105000</v>
      </c>
      <c r="G100" s="22">
        <v>38750</v>
      </c>
      <c r="H100" s="21">
        <v>38750</v>
      </c>
      <c r="I100" s="21"/>
      <c r="J100" s="21">
        <v>65000</v>
      </c>
      <c r="K100" s="21">
        <v>0</v>
      </c>
      <c r="L100" s="22">
        <f t="shared" si="8"/>
        <v>65000</v>
      </c>
    </row>
    <row r="101" spans="1:12" x14ac:dyDescent="0.25">
      <c r="A101" t="s">
        <v>1405</v>
      </c>
      <c r="B101" t="s">
        <v>1406</v>
      </c>
      <c r="C101" s="22">
        <v>0</v>
      </c>
      <c r="D101" s="22">
        <v>133403</v>
      </c>
      <c r="E101" s="22">
        <v>0</v>
      </c>
      <c r="F101" s="22">
        <v>375000</v>
      </c>
      <c r="G101" s="22">
        <v>313577.69</v>
      </c>
      <c r="H101" s="21">
        <v>181000</v>
      </c>
      <c r="I101" s="21"/>
      <c r="J101" s="24">
        <v>327150</v>
      </c>
      <c r="K101" s="21">
        <v>0</v>
      </c>
      <c r="L101" s="22">
        <f t="shared" si="8"/>
        <v>327150</v>
      </c>
    </row>
    <row r="102" spans="1:12" x14ac:dyDescent="0.25">
      <c r="B102" t="s">
        <v>3691</v>
      </c>
      <c r="C102" s="22"/>
      <c r="D102" s="22"/>
      <c r="E102" s="22"/>
      <c r="F102" s="22"/>
      <c r="G102" s="22"/>
      <c r="H102" s="21"/>
      <c r="I102" s="21"/>
      <c r="J102" s="21"/>
      <c r="K102" s="21"/>
      <c r="L102" s="22"/>
    </row>
    <row r="103" spans="1:12" x14ac:dyDescent="0.25">
      <c r="A103" t="s">
        <v>1407</v>
      </c>
      <c r="B103" t="s">
        <v>1408</v>
      </c>
      <c r="C103" s="22">
        <v>0</v>
      </c>
      <c r="D103" s="22">
        <v>0</v>
      </c>
      <c r="E103" s="22">
        <v>0</v>
      </c>
      <c r="F103" s="22">
        <v>15000</v>
      </c>
      <c r="G103" s="22">
        <v>0</v>
      </c>
      <c r="H103" s="21">
        <v>15000</v>
      </c>
      <c r="I103" s="21"/>
      <c r="J103" s="21">
        <v>0</v>
      </c>
      <c r="K103" s="21">
        <v>15000</v>
      </c>
      <c r="L103" s="22">
        <f t="shared" si="8"/>
        <v>15000</v>
      </c>
    </row>
    <row r="104" spans="1:12" x14ac:dyDescent="0.25">
      <c r="A104" t="s">
        <v>1409</v>
      </c>
      <c r="B104" t="s">
        <v>1282</v>
      </c>
      <c r="C104" s="22">
        <v>11004</v>
      </c>
      <c r="D104" s="22">
        <v>0</v>
      </c>
      <c r="E104" s="22">
        <v>0</v>
      </c>
      <c r="F104" s="22">
        <v>21250</v>
      </c>
      <c r="G104" s="22">
        <v>5090</v>
      </c>
      <c r="H104" s="21">
        <v>5090</v>
      </c>
      <c r="I104" s="21"/>
      <c r="J104" s="21">
        <v>0</v>
      </c>
      <c r="K104" s="21">
        <v>0</v>
      </c>
      <c r="L104" s="22">
        <f t="shared" si="8"/>
        <v>0</v>
      </c>
    </row>
    <row r="105" spans="1:12" x14ac:dyDescent="0.25">
      <c r="A105" t="s">
        <v>1410</v>
      </c>
      <c r="B105" t="s">
        <v>534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1">
        <v>0</v>
      </c>
      <c r="I105" s="21"/>
      <c r="J105" s="21">
        <v>0</v>
      </c>
      <c r="K105" s="21">
        <v>0</v>
      </c>
      <c r="L105" s="22">
        <f t="shared" si="8"/>
        <v>0</v>
      </c>
    </row>
    <row r="106" spans="1:12" x14ac:dyDescent="0.25">
      <c r="A106" t="s">
        <v>1411</v>
      </c>
      <c r="B106" t="s">
        <v>1412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1">
        <v>0</v>
      </c>
      <c r="I106" s="21"/>
      <c r="J106" s="21">
        <v>0</v>
      </c>
      <c r="K106" s="21">
        <v>0</v>
      </c>
      <c r="L106" s="22">
        <f t="shared" si="8"/>
        <v>0</v>
      </c>
    </row>
    <row r="107" spans="1:12" x14ac:dyDescent="0.25">
      <c r="A107" t="s">
        <v>1413</v>
      </c>
      <c r="B107" t="s">
        <v>660</v>
      </c>
      <c r="C107" s="22">
        <v>0</v>
      </c>
      <c r="D107" s="22">
        <v>34015</v>
      </c>
      <c r="E107" s="22">
        <v>0</v>
      </c>
      <c r="F107" s="22">
        <v>90217</v>
      </c>
      <c r="G107" s="22">
        <v>85332</v>
      </c>
      <c r="H107" s="21">
        <v>89400</v>
      </c>
      <c r="I107" s="21"/>
      <c r="J107" s="21">
        <v>0</v>
      </c>
      <c r="K107" s="21">
        <v>0</v>
      </c>
      <c r="L107" s="22">
        <f t="shared" si="8"/>
        <v>0</v>
      </c>
    </row>
    <row r="108" spans="1:12" x14ac:dyDescent="0.25">
      <c r="C108" s="22"/>
      <c r="D108" s="22"/>
      <c r="E108" s="22"/>
      <c r="F108" s="22"/>
      <c r="G108" s="22"/>
      <c r="H108" s="22"/>
      <c r="I108" s="22"/>
      <c r="J108" s="22"/>
      <c r="K108" s="22"/>
      <c r="L108" s="22"/>
    </row>
    <row r="109" spans="1:12" x14ac:dyDescent="0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</row>
    <row r="110" spans="1:12" x14ac:dyDescent="0.25">
      <c r="A110" t="s">
        <v>109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</row>
    <row r="111" spans="1:12" x14ac:dyDescent="0.25">
      <c r="B111" t="s">
        <v>530</v>
      </c>
      <c r="C111" s="22">
        <f t="shared" ref="C111:H111" si="9">SUM(C96:C107)</f>
        <v>26638</v>
      </c>
      <c r="D111" s="22">
        <f t="shared" si="9"/>
        <v>174571</v>
      </c>
      <c r="E111" s="22">
        <f t="shared" si="9"/>
        <v>0</v>
      </c>
      <c r="F111" s="22">
        <f t="shared" si="9"/>
        <v>606467</v>
      </c>
      <c r="G111" s="22">
        <f t="shared" si="9"/>
        <v>442749.69</v>
      </c>
      <c r="H111" s="22">
        <f t="shared" si="9"/>
        <v>329240</v>
      </c>
      <c r="I111" s="22"/>
      <c r="J111" s="22">
        <f>SUM(J96:J107)</f>
        <v>392150</v>
      </c>
      <c r="K111" s="22">
        <f>SUM(K96:K107)</f>
        <v>100000</v>
      </c>
      <c r="L111" s="22">
        <f>SUM(L96:L107)</f>
        <v>492150</v>
      </c>
    </row>
    <row r="112" spans="1:12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</row>
    <row r="113" spans="1:12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</row>
    <row r="114" spans="1:12" x14ac:dyDescent="0.25">
      <c r="A114" t="s">
        <v>109</v>
      </c>
      <c r="C114" s="22"/>
      <c r="D114" s="22"/>
      <c r="E114" s="22"/>
      <c r="F114" s="22"/>
      <c r="G114" s="22"/>
      <c r="H114" s="22"/>
      <c r="I114" s="22"/>
      <c r="J114" s="22"/>
      <c r="K114" s="22"/>
      <c r="L114" s="22"/>
    </row>
    <row r="115" spans="1:12" x14ac:dyDescent="0.25">
      <c r="A115">
        <v>34</v>
      </c>
      <c r="B115" t="s">
        <v>3692</v>
      </c>
      <c r="C115" s="22">
        <f t="shared" ref="C115:H115" si="10">C42+C67+C81+C92+C111</f>
        <v>374670</v>
      </c>
      <c r="D115" s="22">
        <f t="shared" si="10"/>
        <v>660780</v>
      </c>
      <c r="E115" s="22">
        <f t="shared" si="10"/>
        <v>396360</v>
      </c>
      <c r="F115" s="22">
        <f t="shared" si="10"/>
        <v>1217094</v>
      </c>
      <c r="G115" s="22">
        <f t="shared" si="10"/>
        <v>739944.75</v>
      </c>
      <c r="H115" s="22">
        <f t="shared" si="10"/>
        <v>682482.61</v>
      </c>
      <c r="I115" s="22"/>
      <c r="J115" s="22">
        <f>J42+J67+J81+J92+J111</f>
        <v>972475.51</v>
      </c>
      <c r="K115" s="22">
        <f>K42+K67+K81+K92+K111</f>
        <v>100000</v>
      </c>
      <c r="L115" s="22">
        <f>L42+L67+L81+L92+L111</f>
        <v>1072475.51</v>
      </c>
    </row>
  </sheetData>
  <sheetProtection algorithmName="SHA-512" hashValue="PJvoSxthgAYtX8jBrjlkb30SmZ4Jk53ju2UMaVJ5t3yV2ucBpgP5NbqMo3AjBgfKmgG51J+obxSj4BGBoKtW8A==" saltValue="m5bMZWUWF2emNBOC+TcvCw==" spinCount="100000" sheet="1" objects="1" scenarios="1" insertRows="0"/>
  <pageMargins left="0.25" right="0.25" top="0.75" bottom="0.75" header="0.3" footer="0.3"/>
  <pageSetup scale="74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4D140-1552-46AA-912E-0F54A92CE479}">
  <sheetPr>
    <pageSetUpPr fitToPage="1"/>
  </sheetPr>
  <dimension ref="A1:L73"/>
  <sheetViews>
    <sheetView zoomScaleNormal="100" workbookViewId="0">
      <selection activeCell="A16" sqref="A16:XFD18"/>
    </sheetView>
  </sheetViews>
  <sheetFormatPr defaultRowHeight="15" x14ac:dyDescent="0.25"/>
  <cols>
    <col min="2" max="2" width="30.28515625" bestFit="1" customWidth="1"/>
    <col min="3" max="3" width="13.140625" bestFit="1" customWidth="1"/>
    <col min="4" max="4" width="14.85546875" bestFit="1" customWidth="1"/>
    <col min="5" max="5" width="13.85546875" bestFit="1" customWidth="1"/>
    <col min="6" max="6" width="14" bestFit="1" customWidth="1"/>
    <col min="7" max="7" width="12.7109375" bestFit="1" customWidth="1"/>
    <col min="8" max="8" width="13.140625" bestFit="1" customWidth="1"/>
    <col min="9" max="9" width="11.5703125" bestFit="1" customWidth="1"/>
    <col min="10" max="10" width="13.140625" bestFit="1" customWidth="1"/>
    <col min="11" max="11" width="14.5703125" bestFit="1" customWidth="1"/>
    <col min="12" max="12" width="14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3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2" x14ac:dyDescent="0.25">
      <c r="A8" t="s">
        <v>351</v>
      </c>
    </row>
    <row r="11" spans="1:12" x14ac:dyDescent="0.25">
      <c r="A11" t="s">
        <v>478</v>
      </c>
    </row>
    <row r="12" spans="1:12" x14ac:dyDescent="0.25">
      <c r="A12" t="s">
        <v>18</v>
      </c>
      <c r="B12" t="s">
        <v>21</v>
      </c>
    </row>
    <row r="13" spans="1:12" x14ac:dyDescent="0.25">
      <c r="A13" t="s">
        <v>1432</v>
      </c>
      <c r="B13" t="s">
        <v>445</v>
      </c>
      <c r="C13" s="22">
        <v>951</v>
      </c>
      <c r="D13" s="22">
        <v>605</v>
      </c>
      <c r="E13" s="22">
        <v>704</v>
      </c>
      <c r="F13" s="22">
        <v>775</v>
      </c>
      <c r="G13" s="22">
        <v>791.78</v>
      </c>
      <c r="H13" s="21">
        <v>791.78</v>
      </c>
      <c r="I13" s="21"/>
      <c r="J13" s="21">
        <f>G13*10%+G13</f>
        <v>870.95799999999997</v>
      </c>
      <c r="K13" s="21">
        <v>0</v>
      </c>
      <c r="L13" s="22">
        <f>SUM(J13+K13)</f>
        <v>870.95799999999997</v>
      </c>
    </row>
    <row r="14" spans="1:12" x14ac:dyDescent="0.25">
      <c r="A14" t="s">
        <v>1433</v>
      </c>
      <c r="B14" t="s">
        <v>447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1">
        <v>0</v>
      </c>
      <c r="I14" s="21"/>
      <c r="J14" s="21">
        <v>0</v>
      </c>
      <c r="K14" s="21">
        <v>0</v>
      </c>
      <c r="L14" s="22">
        <f t="shared" ref="L14:L30" si="0">SUM(J14+K14)</f>
        <v>0</v>
      </c>
    </row>
    <row r="15" spans="1:12" x14ac:dyDescent="0.25">
      <c r="A15" t="s">
        <v>1434</v>
      </c>
      <c r="B15" t="s">
        <v>451</v>
      </c>
      <c r="C15" s="22">
        <v>653</v>
      </c>
      <c r="D15" s="22">
        <v>390</v>
      </c>
      <c r="E15" s="22">
        <v>1125</v>
      </c>
      <c r="F15" s="22">
        <v>1000</v>
      </c>
      <c r="G15" s="22">
        <v>0</v>
      </c>
      <c r="H15" s="21">
        <v>425</v>
      </c>
      <c r="I15" s="21"/>
      <c r="J15" s="21">
        <v>500</v>
      </c>
      <c r="K15" s="21">
        <v>0</v>
      </c>
      <c r="L15" s="22">
        <f t="shared" si="0"/>
        <v>500</v>
      </c>
    </row>
    <row r="16" spans="1:12" hidden="1" x14ac:dyDescent="0.25">
      <c r="A16" t="s">
        <v>1435</v>
      </c>
      <c r="B16" t="s">
        <v>1436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1">
        <v>0</v>
      </c>
      <c r="I16" s="21"/>
      <c r="J16" s="21">
        <v>0</v>
      </c>
      <c r="K16" s="21">
        <v>0</v>
      </c>
      <c r="L16" s="22">
        <f t="shared" si="0"/>
        <v>0</v>
      </c>
    </row>
    <row r="17" spans="1:12" hidden="1" x14ac:dyDescent="0.25">
      <c r="A17" t="s">
        <v>1437</v>
      </c>
      <c r="B17" t="s">
        <v>1373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1">
        <v>0</v>
      </c>
      <c r="I17" s="21"/>
      <c r="J17" s="21">
        <v>0</v>
      </c>
      <c r="K17" s="21">
        <v>0</v>
      </c>
      <c r="L17" s="22">
        <f t="shared" si="0"/>
        <v>0</v>
      </c>
    </row>
    <row r="18" spans="1:12" hidden="1" x14ac:dyDescent="0.25">
      <c r="A18" t="s">
        <v>1438</v>
      </c>
      <c r="B18" t="s">
        <v>461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1">
        <v>0</v>
      </c>
      <c r="I18" s="21"/>
      <c r="J18" s="21">
        <v>0</v>
      </c>
      <c r="K18" s="21">
        <v>0</v>
      </c>
      <c r="L18" s="22">
        <f t="shared" si="0"/>
        <v>0</v>
      </c>
    </row>
    <row r="19" spans="1:12" x14ac:dyDescent="0.25">
      <c r="A19" t="s">
        <v>1439</v>
      </c>
      <c r="B19" t="s">
        <v>471</v>
      </c>
      <c r="C19" s="22">
        <v>1050</v>
      </c>
      <c r="D19" s="22">
        <v>1146</v>
      </c>
      <c r="E19" s="22">
        <v>1146</v>
      </c>
      <c r="F19" s="22">
        <v>1200</v>
      </c>
      <c r="G19" s="22">
        <v>954.9</v>
      </c>
      <c r="H19" s="21">
        <v>1150</v>
      </c>
      <c r="I19" s="21"/>
      <c r="J19" s="21">
        <v>1000</v>
      </c>
      <c r="K19" s="21">
        <v>0</v>
      </c>
      <c r="L19" s="22">
        <f t="shared" si="0"/>
        <v>1000</v>
      </c>
    </row>
    <row r="20" spans="1:12" x14ac:dyDescent="0.25">
      <c r="A20" t="s">
        <v>1440</v>
      </c>
      <c r="B20" t="s">
        <v>1047</v>
      </c>
      <c r="C20" s="22">
        <v>4690</v>
      </c>
      <c r="D20" s="22">
        <v>4767</v>
      </c>
      <c r="E20" s="22">
        <v>4347</v>
      </c>
      <c r="F20" s="22">
        <v>5000</v>
      </c>
      <c r="G20" s="22">
        <v>5507.65</v>
      </c>
      <c r="H20" s="21">
        <v>7075</v>
      </c>
      <c r="I20" s="21"/>
      <c r="J20" s="21">
        <v>7000</v>
      </c>
      <c r="K20" s="21">
        <v>0</v>
      </c>
      <c r="L20" s="22">
        <f t="shared" si="0"/>
        <v>7000</v>
      </c>
    </row>
    <row r="21" spans="1:12" x14ac:dyDescent="0.25">
      <c r="A21" t="s">
        <v>1441</v>
      </c>
      <c r="B21" t="s">
        <v>1049</v>
      </c>
      <c r="C21" s="22">
        <v>29546</v>
      </c>
      <c r="D21" s="22">
        <v>18410</v>
      </c>
      <c r="E21" s="22">
        <v>11410</v>
      </c>
      <c r="F21" s="22">
        <v>30000</v>
      </c>
      <c r="G21" s="22">
        <v>6695.97</v>
      </c>
      <c r="H21" s="21">
        <v>9000</v>
      </c>
      <c r="I21" s="21"/>
      <c r="J21" s="21">
        <v>15000</v>
      </c>
      <c r="K21" s="21">
        <v>0</v>
      </c>
      <c r="L21" s="22">
        <f t="shared" si="0"/>
        <v>15000</v>
      </c>
    </row>
    <row r="22" spans="1:12" x14ac:dyDescent="0.25">
      <c r="A22" t="s">
        <v>1442</v>
      </c>
      <c r="B22" t="s">
        <v>1051</v>
      </c>
      <c r="C22" s="22">
        <v>18507</v>
      </c>
      <c r="D22" s="22">
        <v>11479</v>
      </c>
      <c r="E22" s="22">
        <v>7423</v>
      </c>
      <c r="F22" s="22">
        <v>19000</v>
      </c>
      <c r="G22" s="22">
        <v>5405.19</v>
      </c>
      <c r="H22" s="21">
        <v>6000</v>
      </c>
      <c r="I22" s="21"/>
      <c r="J22" s="21">
        <v>8500</v>
      </c>
      <c r="K22" s="21">
        <v>0</v>
      </c>
      <c r="L22" s="22">
        <f t="shared" si="0"/>
        <v>8500</v>
      </c>
    </row>
    <row r="23" spans="1:12" x14ac:dyDescent="0.25">
      <c r="A23" t="s">
        <v>1443</v>
      </c>
      <c r="B23" t="s">
        <v>473</v>
      </c>
      <c r="C23" s="22">
        <v>6316</v>
      </c>
      <c r="D23" s="22">
        <v>6449</v>
      </c>
      <c r="E23" s="22">
        <v>26992</v>
      </c>
      <c r="F23" s="22">
        <v>15750</v>
      </c>
      <c r="G23" s="22">
        <v>11920.01</v>
      </c>
      <c r="H23" s="21">
        <v>15750</v>
      </c>
      <c r="I23" s="21"/>
      <c r="J23" s="21">
        <v>30000</v>
      </c>
      <c r="K23" s="21">
        <v>0</v>
      </c>
      <c r="L23" s="22">
        <f t="shared" si="0"/>
        <v>30000</v>
      </c>
    </row>
    <row r="24" spans="1:12" x14ac:dyDescent="0.25">
      <c r="B24" t="s">
        <v>3693</v>
      </c>
      <c r="C24" s="22"/>
      <c r="D24" s="22"/>
      <c r="E24" s="22"/>
      <c r="F24" s="22"/>
      <c r="G24" s="22"/>
      <c r="H24" s="21"/>
      <c r="I24" s="21"/>
      <c r="J24" s="21"/>
      <c r="K24" s="21"/>
      <c r="L24" s="22"/>
    </row>
    <row r="25" spans="1:12" x14ac:dyDescent="0.25">
      <c r="B25" t="s">
        <v>3694</v>
      </c>
      <c r="C25" s="22"/>
      <c r="D25" s="22"/>
      <c r="E25" s="22"/>
      <c r="F25" s="22"/>
      <c r="G25" s="22"/>
      <c r="H25" s="21"/>
      <c r="I25" s="21"/>
      <c r="J25" s="21"/>
      <c r="K25" s="21"/>
      <c r="L25" s="22"/>
    </row>
    <row r="26" spans="1:12" x14ac:dyDescent="0.25">
      <c r="B26" t="s">
        <v>3695</v>
      </c>
      <c r="C26" s="22"/>
      <c r="D26" s="22"/>
      <c r="E26" s="22"/>
      <c r="F26" s="22"/>
      <c r="G26" s="22"/>
      <c r="H26" s="21"/>
      <c r="I26" s="21"/>
      <c r="J26" s="21"/>
      <c r="K26" s="21"/>
      <c r="L26" s="22"/>
    </row>
    <row r="27" spans="1:12" x14ac:dyDescent="0.25">
      <c r="A27" t="s">
        <v>1444</v>
      </c>
      <c r="B27" t="s">
        <v>1241</v>
      </c>
      <c r="C27" s="22">
        <v>28798</v>
      </c>
      <c r="D27" s="22">
        <v>0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1445</v>
      </c>
      <c r="B28" t="s">
        <v>475</v>
      </c>
      <c r="C28" s="22">
        <v>0</v>
      </c>
      <c r="D28" s="22">
        <v>0</v>
      </c>
      <c r="E28" s="22">
        <v>610</v>
      </c>
      <c r="F28" s="22">
        <v>0</v>
      </c>
      <c r="G28" s="22">
        <v>540.04999999999995</v>
      </c>
      <c r="H28" s="21">
        <v>540</v>
      </c>
      <c r="I28" s="21"/>
      <c r="J28" s="21">
        <v>1500</v>
      </c>
      <c r="K28" s="21">
        <v>0</v>
      </c>
      <c r="L28" s="22">
        <f t="shared" si="0"/>
        <v>1500</v>
      </c>
    </row>
    <row r="29" spans="1:12" x14ac:dyDescent="0.25">
      <c r="A29" t="s">
        <v>1446</v>
      </c>
      <c r="B29" t="s">
        <v>1447</v>
      </c>
      <c r="C29" s="22">
        <v>165</v>
      </c>
      <c r="D29" s="22">
        <v>0</v>
      </c>
      <c r="E29" s="22">
        <v>0</v>
      </c>
      <c r="F29" s="22">
        <v>0</v>
      </c>
      <c r="G29" s="22">
        <v>0</v>
      </c>
      <c r="H29" s="21">
        <v>0</v>
      </c>
      <c r="I29" s="21"/>
      <c r="J29" s="21">
        <v>0</v>
      </c>
      <c r="K29" s="21">
        <v>0</v>
      </c>
      <c r="L29" s="22">
        <f t="shared" si="0"/>
        <v>0</v>
      </c>
    </row>
    <row r="30" spans="1:12" x14ac:dyDescent="0.25">
      <c r="A30" t="s">
        <v>1448</v>
      </c>
      <c r="B30" t="s">
        <v>477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1">
        <v>0</v>
      </c>
      <c r="I30" s="21"/>
      <c r="J30" s="21">
        <v>0</v>
      </c>
      <c r="K30" s="21">
        <v>0</v>
      </c>
      <c r="L30" s="22">
        <f t="shared" si="0"/>
        <v>0</v>
      </c>
    </row>
    <row r="31" spans="1:12" x14ac:dyDescent="0.25"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x14ac:dyDescent="0.25"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x14ac:dyDescent="0.25">
      <c r="A33" t="s">
        <v>109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x14ac:dyDescent="0.25">
      <c r="B34" t="s">
        <v>478</v>
      </c>
      <c r="C34" s="22">
        <f t="shared" ref="C34:H34" si="1">SUM(C13:C30)</f>
        <v>90676</v>
      </c>
      <c r="D34" s="22">
        <f t="shared" si="1"/>
        <v>43246</v>
      </c>
      <c r="E34" s="22">
        <f t="shared" si="1"/>
        <v>53757</v>
      </c>
      <c r="F34" s="22">
        <f t="shared" si="1"/>
        <v>72725</v>
      </c>
      <c r="G34" s="22">
        <f t="shared" si="1"/>
        <v>31815.55</v>
      </c>
      <c r="H34" s="22">
        <f t="shared" si="1"/>
        <v>40731.78</v>
      </c>
      <c r="I34" s="22"/>
      <c r="J34" s="22">
        <f>SUM(J13:J30)</f>
        <v>64370.957999999999</v>
      </c>
      <c r="K34" s="22">
        <f>SUM(K13:K30)</f>
        <v>0</v>
      </c>
      <c r="L34" s="22">
        <f>SUM(L13:L30)</f>
        <v>64370.957999999999</v>
      </c>
    </row>
    <row r="35" spans="1:12" x14ac:dyDescent="0.25"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25">
      <c r="A36" t="s">
        <v>489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x14ac:dyDescent="0.25">
      <c r="A37" t="s">
        <v>18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5">
      <c r="A38" t="s">
        <v>1449</v>
      </c>
      <c r="B38" t="s">
        <v>489</v>
      </c>
      <c r="C38" s="22">
        <v>3924</v>
      </c>
      <c r="D38" s="22">
        <v>2720</v>
      </c>
      <c r="E38" s="22">
        <v>812</v>
      </c>
      <c r="F38" s="22">
        <v>4000</v>
      </c>
      <c r="G38" s="22">
        <v>6555.69</v>
      </c>
      <c r="H38" s="21">
        <v>6556</v>
      </c>
      <c r="I38" s="21"/>
      <c r="J38" s="21">
        <v>7500</v>
      </c>
      <c r="K38" s="21">
        <v>0</v>
      </c>
      <c r="L38" s="22">
        <f>SUM(J38+K38)</f>
        <v>7500</v>
      </c>
    </row>
    <row r="39" spans="1:12" hidden="1" x14ac:dyDescent="0.25">
      <c r="A39" t="s">
        <v>1450</v>
      </c>
      <c r="B39" t="s">
        <v>1451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1">
        <v>0</v>
      </c>
      <c r="I39" s="21"/>
      <c r="J39" s="21">
        <v>0</v>
      </c>
      <c r="K39" s="21">
        <v>0</v>
      </c>
      <c r="L39" s="22">
        <f t="shared" ref="L39:L42" si="2">SUM(J39+K39)</f>
        <v>0</v>
      </c>
    </row>
    <row r="40" spans="1:12" x14ac:dyDescent="0.25">
      <c r="A40" t="s">
        <v>1452</v>
      </c>
      <c r="B40" t="s">
        <v>1259</v>
      </c>
      <c r="C40" s="22">
        <v>14179</v>
      </c>
      <c r="D40" s="22">
        <v>11772</v>
      </c>
      <c r="E40" s="22">
        <v>3567</v>
      </c>
      <c r="F40" s="22">
        <v>5400</v>
      </c>
      <c r="G40" s="22">
        <v>150</v>
      </c>
      <c r="H40" s="21">
        <v>300</v>
      </c>
      <c r="I40" s="21"/>
      <c r="J40" s="21">
        <v>500</v>
      </c>
      <c r="K40" s="21">
        <v>0</v>
      </c>
      <c r="L40" s="22">
        <f t="shared" si="2"/>
        <v>500</v>
      </c>
    </row>
    <row r="41" spans="1:12" hidden="1" x14ac:dyDescent="0.25">
      <c r="A41" t="s">
        <v>1453</v>
      </c>
      <c r="B41" t="s">
        <v>498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1">
        <v>0</v>
      </c>
      <c r="I41" s="21"/>
      <c r="J41" s="21">
        <v>0</v>
      </c>
      <c r="K41" s="21">
        <v>0</v>
      </c>
      <c r="L41" s="22">
        <f t="shared" si="2"/>
        <v>0</v>
      </c>
    </row>
    <row r="42" spans="1:12" hidden="1" x14ac:dyDescent="0.25">
      <c r="A42" t="s">
        <v>1454</v>
      </c>
      <c r="B42" t="s">
        <v>500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1">
        <v>0</v>
      </c>
      <c r="I42" s="21"/>
      <c r="J42" s="21">
        <v>0</v>
      </c>
      <c r="K42" s="21">
        <v>0</v>
      </c>
      <c r="L42" s="22">
        <f t="shared" si="2"/>
        <v>0</v>
      </c>
    </row>
    <row r="43" spans="1:12" x14ac:dyDescent="0.25"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5"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5">
      <c r="A45" t="s">
        <v>109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5">
      <c r="B46" t="s">
        <v>489</v>
      </c>
      <c r="C46" s="22">
        <f t="shared" ref="C46:H46" si="3">SUM(C38:C42)</f>
        <v>18103</v>
      </c>
      <c r="D46" s="22">
        <f t="shared" si="3"/>
        <v>14492</v>
      </c>
      <c r="E46" s="22">
        <f t="shared" si="3"/>
        <v>4379</v>
      </c>
      <c r="F46" s="22">
        <f t="shared" si="3"/>
        <v>9400</v>
      </c>
      <c r="G46" s="22">
        <f t="shared" si="3"/>
        <v>6705.69</v>
      </c>
      <c r="H46" s="22">
        <f t="shared" si="3"/>
        <v>6856</v>
      </c>
      <c r="I46" s="22"/>
      <c r="J46" s="22">
        <f>SUM(J38:J42)</f>
        <v>8000</v>
      </c>
      <c r="K46" s="22">
        <f>SUM(K38:K42)</f>
        <v>0</v>
      </c>
      <c r="L46" s="22">
        <f>SUM(L38:L42)</f>
        <v>8000</v>
      </c>
    </row>
    <row r="47" spans="1:12" x14ac:dyDescent="0.25"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x14ac:dyDescent="0.25">
      <c r="A48" t="s">
        <v>501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x14ac:dyDescent="0.25">
      <c r="A49" t="s">
        <v>18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x14ac:dyDescent="0.25">
      <c r="A50" t="s">
        <v>1455</v>
      </c>
      <c r="B50" t="s">
        <v>503</v>
      </c>
      <c r="C50" s="22">
        <v>46404</v>
      </c>
      <c r="D50" s="22">
        <v>37312</v>
      </c>
      <c r="E50" s="22">
        <v>0</v>
      </c>
      <c r="F50" s="22">
        <v>81500</v>
      </c>
      <c r="G50" s="22">
        <v>71250</v>
      </c>
      <c r="H50" s="21">
        <v>76500</v>
      </c>
      <c r="I50" s="21"/>
      <c r="J50" s="21">
        <v>85000</v>
      </c>
      <c r="K50" s="21">
        <v>0</v>
      </c>
      <c r="L50" s="22">
        <f>SUM(J50+K50)</f>
        <v>85000</v>
      </c>
    </row>
    <row r="51" spans="1:12" x14ac:dyDescent="0.25">
      <c r="A51" t="s">
        <v>1456</v>
      </c>
      <c r="B51" t="s">
        <v>519</v>
      </c>
      <c r="C51" s="22">
        <v>1100</v>
      </c>
      <c r="D51" s="22">
        <v>1635</v>
      </c>
      <c r="E51" s="22">
        <v>210</v>
      </c>
      <c r="F51" s="22">
        <v>1000</v>
      </c>
      <c r="G51" s="22">
        <v>0</v>
      </c>
      <c r="H51" s="21">
        <v>0</v>
      </c>
      <c r="I51" s="21"/>
      <c r="J51" s="21">
        <v>1000</v>
      </c>
      <c r="K51" s="21">
        <v>0</v>
      </c>
      <c r="L51" s="22">
        <f>SUM(J51+K51)</f>
        <v>1000</v>
      </c>
    </row>
    <row r="52" spans="1:12" x14ac:dyDescent="0.25"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x14ac:dyDescent="0.25"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x14ac:dyDescent="0.25">
      <c r="A54" t="s">
        <v>109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x14ac:dyDescent="0.25">
      <c r="B55" t="s">
        <v>501</v>
      </c>
      <c r="C55" s="22">
        <f t="shared" ref="C55:H55" si="4">SUM(C50:C51)</f>
        <v>47504</v>
      </c>
      <c r="D55" s="22">
        <f t="shared" si="4"/>
        <v>38947</v>
      </c>
      <c r="E55" s="22">
        <f t="shared" si="4"/>
        <v>210</v>
      </c>
      <c r="F55" s="22">
        <f t="shared" si="4"/>
        <v>82500</v>
      </c>
      <c r="G55" s="22">
        <f t="shared" si="4"/>
        <v>71250</v>
      </c>
      <c r="H55" s="22">
        <f t="shared" si="4"/>
        <v>76500</v>
      </c>
      <c r="I55" s="22"/>
      <c r="J55" s="22">
        <f>SUM(J50:J51)</f>
        <v>86000</v>
      </c>
      <c r="K55" s="22">
        <f>SUM(K50:K51)</f>
        <v>0</v>
      </c>
      <c r="L55" s="22">
        <f>SUM(L50:L51)</f>
        <v>86000</v>
      </c>
    </row>
    <row r="56" spans="1:12" x14ac:dyDescent="0.25"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x14ac:dyDescent="0.25">
      <c r="A57" t="s">
        <v>530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x14ac:dyDescent="0.25">
      <c r="A58" t="s">
        <v>18</v>
      </c>
      <c r="B58" t="s">
        <v>526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x14ac:dyDescent="0.25">
      <c r="A59" t="s">
        <v>1457</v>
      </c>
      <c r="B59" t="s">
        <v>530</v>
      </c>
      <c r="C59" s="22">
        <v>0</v>
      </c>
      <c r="D59" s="22">
        <v>0</v>
      </c>
      <c r="E59" s="22">
        <v>0</v>
      </c>
      <c r="F59" s="22">
        <v>12117</v>
      </c>
      <c r="G59" s="22">
        <v>3475</v>
      </c>
      <c r="H59" s="21">
        <v>11500</v>
      </c>
      <c r="I59" s="21"/>
      <c r="J59" s="21">
        <v>0</v>
      </c>
      <c r="K59" s="21">
        <v>16000</v>
      </c>
      <c r="L59" s="22">
        <f>SUM(J59+K59)</f>
        <v>16000</v>
      </c>
    </row>
    <row r="60" spans="1:12" x14ac:dyDescent="0.25">
      <c r="B60" t="s">
        <v>3696</v>
      </c>
      <c r="C60" s="22"/>
      <c r="D60" s="22"/>
      <c r="E60" s="22"/>
      <c r="F60" s="22"/>
      <c r="G60" s="22"/>
      <c r="H60" s="21"/>
      <c r="I60" s="21">
        <v>16000</v>
      </c>
      <c r="J60" s="21"/>
      <c r="K60" s="21"/>
      <c r="L60" s="22"/>
    </row>
    <row r="61" spans="1:12" hidden="1" x14ac:dyDescent="0.25">
      <c r="A61" t="s">
        <v>1458</v>
      </c>
      <c r="B61" t="s">
        <v>1459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1">
        <v>0</v>
      </c>
      <c r="I61" s="21"/>
      <c r="J61" s="21">
        <v>0</v>
      </c>
      <c r="K61" s="21">
        <v>0</v>
      </c>
      <c r="L61" s="22">
        <f t="shared" ref="L61:L65" si="5">SUM(J61+K61)</f>
        <v>0</v>
      </c>
    </row>
    <row r="62" spans="1:12" hidden="1" x14ac:dyDescent="0.25">
      <c r="A62" t="s">
        <v>1460</v>
      </c>
      <c r="B62" t="s">
        <v>1461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1">
        <v>0</v>
      </c>
      <c r="I62" s="21"/>
      <c r="J62" s="21">
        <v>0</v>
      </c>
      <c r="K62" s="21">
        <v>0</v>
      </c>
      <c r="L62" s="22">
        <f t="shared" si="5"/>
        <v>0</v>
      </c>
    </row>
    <row r="63" spans="1:12" hidden="1" x14ac:dyDescent="0.25">
      <c r="A63" t="s">
        <v>1462</v>
      </c>
      <c r="B63" t="s">
        <v>1282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1">
        <v>0</v>
      </c>
      <c r="I63" s="21"/>
      <c r="J63" s="21">
        <v>0</v>
      </c>
      <c r="K63" s="21">
        <v>0</v>
      </c>
      <c r="L63" s="22">
        <f t="shared" si="5"/>
        <v>0</v>
      </c>
    </row>
    <row r="64" spans="1:12" hidden="1" x14ac:dyDescent="0.25">
      <c r="A64" t="s">
        <v>1463</v>
      </c>
      <c r="B64" t="s">
        <v>534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1">
        <v>0</v>
      </c>
      <c r="I64" s="21"/>
      <c r="J64" s="21">
        <v>0</v>
      </c>
      <c r="K64" s="21">
        <v>0</v>
      </c>
      <c r="L64" s="22">
        <f t="shared" si="5"/>
        <v>0</v>
      </c>
    </row>
    <row r="65" spans="1:12" x14ac:dyDescent="0.25">
      <c r="A65" t="s">
        <v>1464</v>
      </c>
      <c r="B65" t="s">
        <v>1465</v>
      </c>
      <c r="C65" s="22">
        <v>0</v>
      </c>
      <c r="D65" s="22">
        <v>0</v>
      </c>
      <c r="E65" s="22">
        <v>175421</v>
      </c>
      <c r="F65" s="22">
        <v>0</v>
      </c>
      <c r="G65" s="22">
        <v>0</v>
      </c>
      <c r="H65" s="21">
        <v>0</v>
      </c>
      <c r="I65" s="21"/>
      <c r="J65" s="21">
        <v>0</v>
      </c>
      <c r="K65" s="21">
        <v>0</v>
      </c>
      <c r="L65" s="22">
        <f t="shared" si="5"/>
        <v>0</v>
      </c>
    </row>
    <row r="66" spans="1:12" x14ac:dyDescent="0.25"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1:12" x14ac:dyDescent="0.25"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1:12" x14ac:dyDescent="0.25">
      <c r="A68" t="s">
        <v>109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1:12" x14ac:dyDescent="0.25">
      <c r="B69" t="s">
        <v>530</v>
      </c>
      <c r="C69" s="22">
        <f t="shared" ref="C69:H69" si="6">SUM(C59:C65)</f>
        <v>0</v>
      </c>
      <c r="D69" s="22">
        <f t="shared" si="6"/>
        <v>0</v>
      </c>
      <c r="E69" s="22">
        <f t="shared" si="6"/>
        <v>175421</v>
      </c>
      <c r="F69" s="22">
        <f t="shared" si="6"/>
        <v>12117</v>
      </c>
      <c r="G69" s="22">
        <f t="shared" si="6"/>
        <v>3475</v>
      </c>
      <c r="H69" s="22">
        <f t="shared" si="6"/>
        <v>11500</v>
      </c>
      <c r="I69" s="22"/>
      <c r="J69" s="22">
        <f>SUM(J59:J65)</f>
        <v>0</v>
      </c>
      <c r="K69" s="22">
        <f>SUM(K59:K65)</f>
        <v>16000</v>
      </c>
      <c r="L69" s="22">
        <f>SUM(L59:L65)</f>
        <v>16000</v>
      </c>
    </row>
    <row r="70" spans="1:12" x14ac:dyDescent="0.25"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x14ac:dyDescent="0.25">
      <c r="A72" t="s">
        <v>109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x14ac:dyDescent="0.25">
      <c r="A73">
        <v>35</v>
      </c>
      <c r="B73" t="s">
        <v>3697</v>
      </c>
      <c r="C73" s="22">
        <f t="shared" ref="C73:H73" si="7">C34+C46+C55+C69</f>
        <v>156283</v>
      </c>
      <c r="D73" s="22">
        <f t="shared" si="7"/>
        <v>96685</v>
      </c>
      <c r="E73" s="22">
        <f t="shared" si="7"/>
        <v>233767</v>
      </c>
      <c r="F73" s="22">
        <f t="shared" si="7"/>
        <v>176742</v>
      </c>
      <c r="G73" s="22">
        <f t="shared" si="7"/>
        <v>113246.23999999999</v>
      </c>
      <c r="H73" s="22">
        <f t="shared" si="7"/>
        <v>135587.78</v>
      </c>
      <c r="I73" s="22"/>
      <c r="J73" s="22">
        <f>J34+J46+J55+J69</f>
        <v>158370.95799999998</v>
      </c>
      <c r="K73" s="22">
        <f>K34+K46+K55+K69</f>
        <v>16000</v>
      </c>
      <c r="L73" s="22">
        <f>L34+L46+L55+L69</f>
        <v>174370.95799999998</v>
      </c>
    </row>
  </sheetData>
  <sheetProtection algorithmName="SHA-512" hashValue="FMZCJ9R4VBuY57rdO0fHKJn5Hb6BKzUfmQJZENxOVlINAZWcALoh0Rzr3c3e6rSt6kF931WsOUJ+I/lAC0cP9Q==" saltValue="rHWjN8iWi4uPgIL8u6PkLg==" spinCount="100000" sheet="1" objects="1" scenarios="1" insertRows="0"/>
  <pageMargins left="0.25" right="0.25" top="0.75" bottom="0.75" header="0.3" footer="0.3"/>
  <pageSetup scale="76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322A-7967-4B26-A780-C43CD6B9F131}">
  <sheetPr>
    <pageSetUpPr fitToPage="1"/>
  </sheetPr>
  <dimension ref="A1:L96"/>
  <sheetViews>
    <sheetView zoomScaleNormal="100" workbookViewId="0">
      <selection activeCell="J24" sqref="J24"/>
    </sheetView>
  </sheetViews>
  <sheetFormatPr defaultRowHeight="15" x14ac:dyDescent="0.25"/>
  <cols>
    <col min="2" max="2" width="32.5703125" style="7" bestFit="1" customWidth="1"/>
    <col min="3" max="3" width="13.140625" style="12" bestFit="1" customWidth="1"/>
    <col min="4" max="4" width="14.85546875" style="12" bestFit="1" customWidth="1"/>
    <col min="5" max="5" width="13.85546875" style="12" bestFit="1" customWidth="1"/>
    <col min="6" max="6" width="14" style="12" bestFit="1" customWidth="1"/>
    <col min="7" max="7" width="12.7109375" style="12" bestFit="1" customWidth="1"/>
    <col min="8" max="8" width="13.140625" style="11" bestFit="1" customWidth="1"/>
    <col min="9" max="9" width="10.7109375" style="11" customWidth="1"/>
    <col min="10" max="10" width="13.140625" style="11" bestFit="1" customWidth="1"/>
    <col min="11" max="11" width="14.5703125" style="11" bestFit="1" customWidth="1"/>
    <col min="12" max="12" width="14" style="12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382</v>
      </c>
    </row>
    <row r="11" spans="1:12" x14ac:dyDescent="0.25">
      <c r="A11" t="s">
        <v>441</v>
      </c>
    </row>
    <row r="12" spans="1:12" x14ac:dyDescent="0.25">
      <c r="A12" t="s">
        <v>18</v>
      </c>
      <c r="B12" s="7" t="s">
        <v>228</v>
      </c>
      <c r="C12" s="22"/>
      <c r="D12" s="22"/>
      <c r="E12" s="22"/>
      <c r="F12" s="22"/>
      <c r="G12" s="22"/>
      <c r="H12" s="21"/>
      <c r="I12" s="21"/>
      <c r="J12" s="21"/>
      <c r="K12" s="21"/>
      <c r="L12" s="22"/>
    </row>
    <row r="13" spans="1:12" x14ac:dyDescent="0.25">
      <c r="A13" t="s">
        <v>1468</v>
      </c>
      <c r="B13" s="7" t="s">
        <v>569</v>
      </c>
      <c r="C13" s="22">
        <v>1452</v>
      </c>
      <c r="D13" s="22">
        <v>3839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1469</v>
      </c>
      <c r="B14" s="7" t="s">
        <v>396</v>
      </c>
      <c r="C14" s="22">
        <v>112</v>
      </c>
      <c r="D14" s="22">
        <v>43</v>
      </c>
      <c r="E14" s="22">
        <v>469</v>
      </c>
      <c r="F14" s="22">
        <v>1008</v>
      </c>
      <c r="G14" s="22">
        <v>380.48</v>
      </c>
      <c r="H14" s="21">
        <v>380</v>
      </c>
      <c r="I14" s="21"/>
      <c r="J14" s="21">
        <v>252</v>
      </c>
      <c r="K14" s="21">
        <v>0</v>
      </c>
      <c r="L14" s="22">
        <f t="shared" ref="L14:L30" si="0">SUM(J14+K14)</f>
        <v>252</v>
      </c>
    </row>
    <row r="15" spans="1:12" x14ac:dyDescent="0.25">
      <c r="A15" t="s">
        <v>1470</v>
      </c>
      <c r="B15" s="7" t="s">
        <v>398</v>
      </c>
      <c r="C15" s="22">
        <v>11140</v>
      </c>
      <c r="D15" s="22">
        <v>14538</v>
      </c>
      <c r="E15" s="22">
        <v>15585</v>
      </c>
      <c r="F15" s="22">
        <v>16712</v>
      </c>
      <c r="G15" s="22">
        <v>14508.9</v>
      </c>
      <c r="H15" s="21">
        <v>16500</v>
      </c>
      <c r="I15" s="21"/>
      <c r="J15" s="21">
        <v>18080.03</v>
      </c>
      <c r="K15" s="21">
        <v>0</v>
      </c>
      <c r="L15" s="22">
        <f t="shared" si="0"/>
        <v>18080.03</v>
      </c>
    </row>
    <row r="16" spans="1:12" x14ac:dyDescent="0.25">
      <c r="A16" t="s">
        <v>1471</v>
      </c>
      <c r="B16" s="7" t="s">
        <v>400</v>
      </c>
      <c r="C16" s="22">
        <v>9336</v>
      </c>
      <c r="D16" s="22">
        <v>12730</v>
      </c>
      <c r="E16" s="22">
        <v>16383</v>
      </c>
      <c r="F16" s="22">
        <v>18857</v>
      </c>
      <c r="G16" s="22">
        <v>13289.84</v>
      </c>
      <c r="H16" s="21">
        <v>15500</v>
      </c>
      <c r="I16" s="21"/>
      <c r="J16" s="21">
        <f>4510.77+13528.89</f>
        <v>18039.66</v>
      </c>
      <c r="K16" s="21">
        <v>0</v>
      </c>
      <c r="L16" s="22">
        <f t="shared" si="0"/>
        <v>18039.66</v>
      </c>
    </row>
    <row r="17" spans="1:12" x14ac:dyDescent="0.25">
      <c r="A17" t="s">
        <v>1472</v>
      </c>
      <c r="B17" s="7" t="s">
        <v>574</v>
      </c>
      <c r="C17" s="22">
        <v>20971</v>
      </c>
      <c r="D17" s="22">
        <v>23404</v>
      </c>
      <c r="E17" s="22">
        <v>38360</v>
      </c>
      <c r="F17" s="22">
        <v>48784</v>
      </c>
      <c r="G17" s="22">
        <v>31931.4</v>
      </c>
      <c r="H17" s="21">
        <v>34750</v>
      </c>
      <c r="I17" s="21"/>
      <c r="J17" s="21">
        <v>34840.68</v>
      </c>
      <c r="K17" s="21">
        <v>0</v>
      </c>
      <c r="L17" s="22">
        <f t="shared" si="0"/>
        <v>34840.68</v>
      </c>
    </row>
    <row r="18" spans="1:12" x14ac:dyDescent="0.25">
      <c r="A18" t="s">
        <v>1473</v>
      </c>
      <c r="B18" s="7" t="s">
        <v>404</v>
      </c>
      <c r="C18" s="22">
        <v>1328</v>
      </c>
      <c r="D18" s="22">
        <v>1436</v>
      </c>
      <c r="E18" s="22">
        <v>1897</v>
      </c>
      <c r="F18" s="22">
        <v>1962</v>
      </c>
      <c r="G18" s="22">
        <v>1604.21</v>
      </c>
      <c r="H18" s="21">
        <v>2100</v>
      </c>
      <c r="I18" s="21"/>
      <c r="J18" s="21">
        <v>2160</v>
      </c>
      <c r="K18" s="21">
        <v>0</v>
      </c>
      <c r="L18" s="22">
        <f t="shared" si="0"/>
        <v>2160</v>
      </c>
    </row>
    <row r="19" spans="1:12" x14ac:dyDescent="0.25">
      <c r="A19" t="s">
        <v>1474</v>
      </c>
      <c r="B19" s="7" t="s">
        <v>406</v>
      </c>
      <c r="C19" s="22">
        <v>716</v>
      </c>
      <c r="D19" s="22">
        <v>2543</v>
      </c>
      <c r="E19" s="22">
        <v>858</v>
      </c>
      <c r="F19" s="22">
        <v>944</v>
      </c>
      <c r="G19" s="22">
        <v>1365.77</v>
      </c>
      <c r="H19" s="21">
        <v>1366</v>
      </c>
      <c r="I19" s="21"/>
      <c r="J19" s="21">
        <f>G19*10%+G19</f>
        <v>1502.347</v>
      </c>
      <c r="K19" s="21">
        <v>0</v>
      </c>
      <c r="L19" s="22">
        <f t="shared" si="0"/>
        <v>1502.347</v>
      </c>
    </row>
    <row r="20" spans="1:12" x14ac:dyDescent="0.25">
      <c r="A20" t="s">
        <v>1475</v>
      </c>
      <c r="B20" s="7" t="s">
        <v>1476</v>
      </c>
      <c r="C20" s="22">
        <v>69589</v>
      </c>
      <c r="D20" s="22">
        <v>89304</v>
      </c>
      <c r="E20" s="22">
        <v>90089</v>
      </c>
      <c r="F20" s="22">
        <v>94593</v>
      </c>
      <c r="G20" s="22">
        <v>83332.56</v>
      </c>
      <c r="H20" s="21">
        <v>94150</v>
      </c>
      <c r="I20" s="21"/>
      <c r="J20" s="21">
        <v>94593</v>
      </c>
      <c r="K20" s="21">
        <v>0</v>
      </c>
      <c r="L20" s="22">
        <f t="shared" si="0"/>
        <v>94593</v>
      </c>
    </row>
    <row r="21" spans="1:12" x14ac:dyDescent="0.25">
      <c r="A21" t="s">
        <v>1477</v>
      </c>
      <c r="B21" s="7" t="s">
        <v>1478</v>
      </c>
      <c r="C21" s="22">
        <v>73668</v>
      </c>
      <c r="D21" s="22">
        <v>98696</v>
      </c>
      <c r="E21" s="22">
        <v>113498</v>
      </c>
      <c r="F21" s="22">
        <v>123027</v>
      </c>
      <c r="G21" s="22">
        <v>105520.42</v>
      </c>
      <c r="H21" s="21">
        <v>120000</v>
      </c>
      <c r="I21" s="21"/>
      <c r="J21" s="21">
        <v>138756</v>
      </c>
      <c r="K21" s="21">
        <v>0</v>
      </c>
      <c r="L21" s="22">
        <f t="shared" si="0"/>
        <v>138756</v>
      </c>
    </row>
    <row r="22" spans="1:12" hidden="1" x14ac:dyDescent="0.25">
      <c r="A22" t="s">
        <v>1479</v>
      </c>
      <c r="B22" s="7" t="s">
        <v>1480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1">
        <v>0</v>
      </c>
      <c r="I22" s="21"/>
      <c r="J22" s="21">
        <v>0</v>
      </c>
      <c r="K22" s="21">
        <v>0</v>
      </c>
      <c r="L22" s="22">
        <f t="shared" si="0"/>
        <v>0</v>
      </c>
    </row>
    <row r="23" spans="1:12" x14ac:dyDescent="0.25">
      <c r="A23" t="s">
        <v>1481</v>
      </c>
      <c r="B23" s="7" t="s">
        <v>424</v>
      </c>
      <c r="C23" s="22">
        <v>1038</v>
      </c>
      <c r="D23" s="22">
        <v>1003</v>
      </c>
      <c r="E23" s="22">
        <v>1073</v>
      </c>
      <c r="F23" s="22">
        <v>791</v>
      </c>
      <c r="G23" s="22">
        <v>899.65</v>
      </c>
      <c r="H23" s="21">
        <v>900</v>
      </c>
      <c r="I23" s="21"/>
      <c r="J23" s="21">
        <v>1176.47</v>
      </c>
      <c r="K23" s="21">
        <v>0</v>
      </c>
      <c r="L23" s="22">
        <f t="shared" si="0"/>
        <v>1176.47</v>
      </c>
    </row>
    <row r="24" spans="1:12" x14ac:dyDescent="0.25">
      <c r="A24" t="s">
        <v>1482</v>
      </c>
      <c r="B24" s="7" t="s">
        <v>426</v>
      </c>
      <c r="C24" s="22">
        <v>810</v>
      </c>
      <c r="D24" s="22">
        <v>810</v>
      </c>
      <c r="E24" s="22">
        <v>810</v>
      </c>
      <c r="F24" s="22">
        <v>1215</v>
      </c>
      <c r="G24" s="22">
        <v>830.44</v>
      </c>
      <c r="H24" s="21">
        <v>830</v>
      </c>
      <c r="I24" s="21"/>
      <c r="J24" s="21">
        <v>1214.73</v>
      </c>
      <c r="K24" s="21">
        <v>0</v>
      </c>
      <c r="L24" s="22">
        <f t="shared" si="0"/>
        <v>1214.73</v>
      </c>
    </row>
    <row r="25" spans="1:12" x14ac:dyDescent="0.25">
      <c r="A25" t="s">
        <v>1483</v>
      </c>
      <c r="B25" s="7" t="s">
        <v>428</v>
      </c>
      <c r="C25" s="22">
        <v>600</v>
      </c>
      <c r="D25" s="22">
        <v>600</v>
      </c>
      <c r="E25" s="22">
        <v>600</v>
      </c>
      <c r="F25" s="22">
        <v>600</v>
      </c>
      <c r="G25" s="22">
        <v>530.84</v>
      </c>
      <c r="H25" s="21">
        <v>625</v>
      </c>
      <c r="I25" s="21"/>
      <c r="J25" s="21">
        <v>600</v>
      </c>
      <c r="K25" s="21">
        <v>0</v>
      </c>
      <c r="L25" s="22">
        <f t="shared" si="0"/>
        <v>600</v>
      </c>
    </row>
    <row r="26" spans="1:12" x14ac:dyDescent="0.25">
      <c r="A26" t="s">
        <v>1484</v>
      </c>
      <c r="B26" s="7" t="s">
        <v>430</v>
      </c>
      <c r="C26" s="22">
        <v>138</v>
      </c>
      <c r="D26" s="22">
        <v>138</v>
      </c>
      <c r="E26" s="22">
        <v>138</v>
      </c>
      <c r="F26" s="22">
        <v>138</v>
      </c>
      <c r="G26" s="22">
        <v>138.4</v>
      </c>
      <c r="H26" s="21">
        <v>138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1485</v>
      </c>
      <c r="B27" s="7" t="s">
        <v>432</v>
      </c>
      <c r="C27" s="22">
        <v>0</v>
      </c>
      <c r="D27" s="22">
        <v>0</v>
      </c>
      <c r="E27" s="22">
        <v>0</v>
      </c>
      <c r="F27" s="22">
        <v>0</v>
      </c>
      <c r="G27" s="22">
        <v>602.24</v>
      </c>
      <c r="H27" s="21">
        <v>602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1486</v>
      </c>
      <c r="B28" s="7" t="s">
        <v>434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1487</v>
      </c>
      <c r="B29" s="7" t="s">
        <v>436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1">
        <v>0</v>
      </c>
      <c r="I29" s="21"/>
      <c r="J29" s="21">
        <v>0</v>
      </c>
      <c r="K29" s="21">
        <v>0</v>
      </c>
      <c r="L29" s="22">
        <f t="shared" si="0"/>
        <v>0</v>
      </c>
    </row>
    <row r="30" spans="1:12" x14ac:dyDescent="0.25">
      <c r="A30" t="s">
        <v>1488</v>
      </c>
      <c r="B30" s="7" t="s">
        <v>607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1">
        <v>0</v>
      </c>
      <c r="I30" s="21"/>
      <c r="J30" s="21">
        <v>0</v>
      </c>
      <c r="K30" s="21">
        <v>0</v>
      </c>
      <c r="L30" s="22">
        <f t="shared" si="0"/>
        <v>0</v>
      </c>
    </row>
    <row r="31" spans="1:12" x14ac:dyDescent="0.25">
      <c r="C31" s="22"/>
      <c r="D31" s="22"/>
      <c r="E31" s="22"/>
      <c r="F31" s="22"/>
      <c r="G31" s="22"/>
      <c r="H31" s="21"/>
      <c r="I31" s="21"/>
      <c r="J31" s="21"/>
      <c r="K31" s="21"/>
      <c r="L31" s="22"/>
    </row>
    <row r="32" spans="1:12" x14ac:dyDescent="0.25">
      <c r="C32" s="22"/>
      <c r="D32" s="22"/>
      <c r="E32" s="22"/>
      <c r="F32" s="22"/>
      <c r="G32" s="22"/>
      <c r="H32" s="21"/>
      <c r="I32" s="21"/>
      <c r="J32" s="21"/>
      <c r="K32" s="21"/>
      <c r="L32" s="22"/>
    </row>
    <row r="33" spans="1:12" x14ac:dyDescent="0.25">
      <c r="A33" t="s">
        <v>109</v>
      </c>
      <c r="C33" s="22"/>
      <c r="D33" s="22"/>
      <c r="E33" s="22"/>
      <c r="F33" s="22"/>
      <c r="G33" s="22"/>
      <c r="H33" s="21"/>
      <c r="I33" s="21"/>
      <c r="J33" s="21"/>
      <c r="K33" s="21"/>
      <c r="L33" s="22"/>
    </row>
    <row r="34" spans="1:12" x14ac:dyDescent="0.25">
      <c r="B34" t="s">
        <v>441</v>
      </c>
      <c r="C34" s="20">
        <f t="shared" ref="C34:H34" si="1">SUM(C13:C30)</f>
        <v>190898</v>
      </c>
      <c r="D34" s="20">
        <f t="shared" si="1"/>
        <v>249084</v>
      </c>
      <c r="E34" s="20">
        <f t="shared" si="1"/>
        <v>279760</v>
      </c>
      <c r="F34" s="20">
        <f t="shared" si="1"/>
        <v>308631</v>
      </c>
      <c r="G34" s="20">
        <f t="shared" si="1"/>
        <v>254935.15</v>
      </c>
      <c r="H34" s="20">
        <f t="shared" si="1"/>
        <v>287841</v>
      </c>
      <c r="I34" s="20"/>
      <c r="J34" s="20">
        <f>SUM(J13:J30)</f>
        <v>311214.91699999996</v>
      </c>
      <c r="K34" s="20">
        <f>SUM(K13:K30)</f>
        <v>0</v>
      </c>
      <c r="L34" s="20">
        <f>SUM(L13:L30)</f>
        <v>311214.91699999996</v>
      </c>
    </row>
    <row r="35" spans="1:12" x14ac:dyDescent="0.25">
      <c r="C35" s="22"/>
      <c r="D35" s="22"/>
      <c r="E35" s="22"/>
      <c r="F35" s="22"/>
      <c r="G35" s="22"/>
      <c r="H35" s="21"/>
      <c r="I35" s="21"/>
      <c r="J35" s="21"/>
      <c r="K35" s="21"/>
      <c r="L35" s="22"/>
    </row>
    <row r="36" spans="1:12" x14ac:dyDescent="0.25">
      <c r="A36" t="s">
        <v>478</v>
      </c>
      <c r="C36" s="22"/>
      <c r="D36" s="22"/>
      <c r="E36" s="22"/>
      <c r="F36" s="22"/>
      <c r="G36" s="22"/>
      <c r="H36" s="21"/>
      <c r="I36" s="21"/>
      <c r="J36" s="21"/>
      <c r="K36" s="21"/>
      <c r="L36" s="22"/>
    </row>
    <row r="37" spans="1:12" x14ac:dyDescent="0.25">
      <c r="A37" t="s">
        <v>18</v>
      </c>
      <c r="B37" s="7" t="s">
        <v>21</v>
      </c>
      <c r="C37" s="22"/>
      <c r="D37" s="22"/>
      <c r="E37" s="22"/>
      <c r="F37" s="22"/>
      <c r="G37" s="22"/>
      <c r="H37" s="21"/>
      <c r="I37" s="21"/>
      <c r="J37" s="21"/>
      <c r="K37" s="21"/>
      <c r="L37" s="22"/>
    </row>
    <row r="38" spans="1:12" x14ac:dyDescent="0.25">
      <c r="A38" t="s">
        <v>1489</v>
      </c>
      <c r="B38" s="7" t="s">
        <v>445</v>
      </c>
      <c r="C38" s="22">
        <v>1402</v>
      </c>
      <c r="D38" s="22">
        <v>1664</v>
      </c>
      <c r="E38" s="22">
        <v>1927</v>
      </c>
      <c r="F38" s="22">
        <v>2119</v>
      </c>
      <c r="G38" s="22">
        <v>2166.98</v>
      </c>
      <c r="H38" s="21">
        <v>2167</v>
      </c>
      <c r="I38" s="21"/>
      <c r="J38" s="21">
        <v>2383.6999999999998</v>
      </c>
      <c r="K38" s="21">
        <v>0</v>
      </c>
      <c r="L38" s="22">
        <f>SUM(J38+K38)</f>
        <v>2383.6999999999998</v>
      </c>
    </row>
    <row r="39" spans="1:12" x14ac:dyDescent="0.25">
      <c r="A39" t="s">
        <v>1490</v>
      </c>
      <c r="B39" s="7" t="s">
        <v>449</v>
      </c>
      <c r="C39" s="22">
        <v>0</v>
      </c>
      <c r="D39" s="22">
        <v>0</v>
      </c>
      <c r="E39" s="22">
        <v>354</v>
      </c>
      <c r="F39" s="22">
        <v>2400</v>
      </c>
      <c r="G39" s="22">
        <v>1058.25</v>
      </c>
      <c r="H39" s="21">
        <v>1500</v>
      </c>
      <c r="I39" s="21"/>
      <c r="J39" s="21">
        <v>2200</v>
      </c>
      <c r="K39" s="21">
        <v>0</v>
      </c>
      <c r="L39" s="22">
        <f t="shared" ref="L39:L57" si="2">SUM(J39+K39)</f>
        <v>2200</v>
      </c>
    </row>
    <row r="40" spans="1:12" x14ac:dyDescent="0.25">
      <c r="A40" t="s">
        <v>1491</v>
      </c>
      <c r="B40" s="7" t="s">
        <v>451</v>
      </c>
      <c r="C40" s="22">
        <v>0</v>
      </c>
      <c r="D40" s="22">
        <v>26</v>
      </c>
      <c r="E40" s="22">
        <v>15</v>
      </c>
      <c r="F40" s="22">
        <v>920</v>
      </c>
      <c r="G40" s="22">
        <v>357</v>
      </c>
      <c r="H40" s="21">
        <v>550</v>
      </c>
      <c r="I40" s="21"/>
      <c r="J40" s="21">
        <v>900</v>
      </c>
      <c r="K40" s="21">
        <v>0</v>
      </c>
      <c r="L40" s="22">
        <f t="shared" si="2"/>
        <v>900</v>
      </c>
    </row>
    <row r="41" spans="1:12" x14ac:dyDescent="0.25">
      <c r="A41" t="s">
        <v>1492</v>
      </c>
      <c r="B41" s="7" t="s">
        <v>1493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1">
        <v>0</v>
      </c>
      <c r="I41" s="21"/>
      <c r="J41" s="21">
        <v>0</v>
      </c>
      <c r="K41" s="21">
        <v>0</v>
      </c>
      <c r="L41" s="22">
        <f t="shared" si="2"/>
        <v>0</v>
      </c>
    </row>
    <row r="42" spans="1:12" hidden="1" x14ac:dyDescent="0.25">
      <c r="A42" t="s">
        <v>1494</v>
      </c>
      <c r="B42" s="7" t="s">
        <v>1495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1">
        <v>0</v>
      </c>
      <c r="I42" s="21"/>
      <c r="J42" s="21">
        <v>0</v>
      </c>
      <c r="K42" s="21">
        <v>0</v>
      </c>
      <c r="L42" s="22">
        <f t="shared" si="2"/>
        <v>0</v>
      </c>
    </row>
    <row r="43" spans="1:12" x14ac:dyDescent="0.25">
      <c r="A43" t="s">
        <v>1496</v>
      </c>
      <c r="B43" s="7" t="s">
        <v>1497</v>
      </c>
      <c r="C43" s="22">
        <v>62</v>
      </c>
      <c r="D43" s="22">
        <v>124</v>
      </c>
      <c r="E43" s="22">
        <v>124</v>
      </c>
      <c r="F43" s="22">
        <v>130</v>
      </c>
      <c r="G43" s="22">
        <v>124</v>
      </c>
      <c r="H43" s="21">
        <v>124</v>
      </c>
      <c r="I43" s="21"/>
      <c r="J43" s="21">
        <v>130</v>
      </c>
      <c r="K43" s="21">
        <v>0</v>
      </c>
      <c r="L43" s="22">
        <f t="shared" si="2"/>
        <v>130</v>
      </c>
    </row>
    <row r="44" spans="1:12" x14ac:dyDescent="0.25">
      <c r="A44" t="s">
        <v>1498</v>
      </c>
      <c r="B44" s="7" t="s">
        <v>457</v>
      </c>
      <c r="C44" s="22">
        <v>403</v>
      </c>
      <c r="D44" s="22">
        <v>850</v>
      </c>
      <c r="E44" s="22">
        <v>1241</v>
      </c>
      <c r="F44" s="22">
        <v>1500</v>
      </c>
      <c r="G44" s="22">
        <v>581.29999999999995</v>
      </c>
      <c r="H44" s="21">
        <v>1431</v>
      </c>
      <c r="I44" s="21"/>
      <c r="J44" s="21">
        <v>1500</v>
      </c>
      <c r="K44" s="21">
        <v>0</v>
      </c>
      <c r="L44" s="22">
        <f t="shared" si="2"/>
        <v>1500</v>
      </c>
    </row>
    <row r="45" spans="1:12" x14ac:dyDescent="0.25">
      <c r="B45" s="7" t="s">
        <v>3698</v>
      </c>
      <c r="C45" s="22"/>
      <c r="D45" s="22"/>
      <c r="E45" s="22"/>
      <c r="F45" s="22"/>
      <c r="G45" s="22"/>
      <c r="H45" s="21"/>
      <c r="I45" s="21">
        <v>760</v>
      </c>
      <c r="J45" s="21"/>
      <c r="K45" s="21"/>
      <c r="L45" s="22"/>
    </row>
    <row r="46" spans="1:12" x14ac:dyDescent="0.25">
      <c r="B46" s="7" t="s">
        <v>3699</v>
      </c>
      <c r="C46" s="22"/>
      <c r="D46" s="22"/>
      <c r="E46" s="22"/>
      <c r="F46" s="22"/>
      <c r="G46" s="22"/>
      <c r="H46" s="21"/>
      <c r="I46" s="21">
        <v>606</v>
      </c>
      <c r="J46" s="21"/>
      <c r="K46" s="21"/>
      <c r="L46" s="22"/>
    </row>
    <row r="47" spans="1:12" x14ac:dyDescent="0.25">
      <c r="B47" s="7" t="s">
        <v>3700</v>
      </c>
      <c r="C47" s="22"/>
      <c r="D47" s="22"/>
      <c r="E47" s="22"/>
      <c r="F47" s="22"/>
      <c r="G47" s="22"/>
      <c r="H47" s="21"/>
      <c r="I47" s="21">
        <v>65</v>
      </c>
      <c r="J47" s="21"/>
      <c r="K47" s="21"/>
      <c r="L47" s="22"/>
    </row>
    <row r="48" spans="1:12" x14ac:dyDescent="0.25">
      <c r="B48" s="7" t="s">
        <v>3701</v>
      </c>
      <c r="C48" s="22"/>
      <c r="D48" s="22"/>
      <c r="E48" s="22"/>
      <c r="F48" s="22"/>
      <c r="G48" s="22"/>
      <c r="H48" s="21"/>
      <c r="I48" s="21">
        <v>69</v>
      </c>
      <c r="J48" s="21"/>
      <c r="K48" s="21"/>
      <c r="L48" s="22"/>
    </row>
    <row r="49" spans="1:12" x14ac:dyDescent="0.25">
      <c r="A49" t="s">
        <v>1499</v>
      </c>
      <c r="B49" s="7" t="s">
        <v>459</v>
      </c>
      <c r="C49" s="22">
        <v>126</v>
      </c>
      <c r="D49" s="22">
        <v>0</v>
      </c>
      <c r="E49" s="22">
        <v>0</v>
      </c>
      <c r="F49" s="22">
        <v>126</v>
      </c>
      <c r="G49" s="22">
        <v>0</v>
      </c>
      <c r="H49" s="21">
        <v>126</v>
      </c>
      <c r="I49" s="21"/>
      <c r="J49" s="21">
        <v>126</v>
      </c>
      <c r="K49" s="21">
        <v>0</v>
      </c>
      <c r="L49" s="22">
        <f t="shared" si="2"/>
        <v>126</v>
      </c>
    </row>
    <row r="50" spans="1:12" x14ac:dyDescent="0.25">
      <c r="A50" t="s">
        <v>1500</v>
      </c>
      <c r="B50" s="7" t="s">
        <v>465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1">
        <v>0</v>
      </c>
      <c r="I50" s="21"/>
      <c r="J50" s="21">
        <v>0</v>
      </c>
      <c r="K50" s="21">
        <v>0</v>
      </c>
      <c r="L50" s="22">
        <f t="shared" si="2"/>
        <v>0</v>
      </c>
    </row>
    <row r="51" spans="1:12" x14ac:dyDescent="0.25">
      <c r="A51" t="s">
        <v>1501</v>
      </c>
      <c r="B51" s="7" t="s">
        <v>471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1">
        <v>0</v>
      </c>
      <c r="I51" s="21"/>
      <c r="J51" s="21">
        <v>0</v>
      </c>
      <c r="K51" s="21">
        <v>0</v>
      </c>
      <c r="L51" s="22">
        <f t="shared" si="2"/>
        <v>0</v>
      </c>
    </row>
    <row r="52" spans="1:12" x14ac:dyDescent="0.25">
      <c r="A52" t="s">
        <v>1502</v>
      </c>
      <c r="B52" s="7" t="s">
        <v>1049</v>
      </c>
      <c r="C52" s="22">
        <v>494</v>
      </c>
      <c r="D52" s="22">
        <v>484</v>
      </c>
      <c r="E52" s="22">
        <v>481</v>
      </c>
      <c r="F52" s="22">
        <v>500</v>
      </c>
      <c r="G52" s="22">
        <v>369.78</v>
      </c>
      <c r="H52" s="21">
        <v>500</v>
      </c>
      <c r="I52" s="21"/>
      <c r="J52" s="21">
        <v>500</v>
      </c>
      <c r="K52" s="21">
        <v>0</v>
      </c>
      <c r="L52" s="22">
        <f t="shared" si="2"/>
        <v>500</v>
      </c>
    </row>
    <row r="53" spans="1:12" x14ac:dyDescent="0.25">
      <c r="A53" t="s">
        <v>1503</v>
      </c>
      <c r="B53" s="7" t="s">
        <v>1051</v>
      </c>
      <c r="C53" s="22">
        <v>381</v>
      </c>
      <c r="D53" s="22">
        <v>354</v>
      </c>
      <c r="E53" s="22">
        <v>345</v>
      </c>
      <c r="F53" s="22">
        <v>400</v>
      </c>
      <c r="G53" s="22">
        <v>282.82</v>
      </c>
      <c r="H53" s="21">
        <v>350</v>
      </c>
      <c r="I53" s="21"/>
      <c r="J53" s="21">
        <v>400</v>
      </c>
      <c r="K53" s="21">
        <v>0</v>
      </c>
      <c r="L53" s="22">
        <f t="shared" si="2"/>
        <v>400</v>
      </c>
    </row>
    <row r="54" spans="1:12" x14ac:dyDescent="0.25">
      <c r="A54" t="s">
        <v>1504</v>
      </c>
      <c r="B54" s="7" t="s">
        <v>473</v>
      </c>
      <c r="C54" s="22">
        <v>2632</v>
      </c>
      <c r="D54" s="22">
        <v>2089</v>
      </c>
      <c r="E54" s="22">
        <v>27480</v>
      </c>
      <c r="F54" s="22">
        <v>3000</v>
      </c>
      <c r="G54" s="22">
        <v>27758.27</v>
      </c>
      <c r="H54" s="21">
        <v>30037</v>
      </c>
      <c r="I54" s="21"/>
      <c r="J54" s="21">
        <v>4000</v>
      </c>
      <c r="K54" s="21">
        <v>0</v>
      </c>
      <c r="L54" s="22">
        <f t="shared" si="2"/>
        <v>4000</v>
      </c>
    </row>
    <row r="55" spans="1:12" x14ac:dyDescent="0.25">
      <c r="A55" t="s">
        <v>1505</v>
      </c>
      <c r="B55" s="7" t="s">
        <v>475</v>
      </c>
      <c r="C55" s="22">
        <v>2236</v>
      </c>
      <c r="D55" s="22">
        <v>142</v>
      </c>
      <c r="E55" s="22">
        <v>250</v>
      </c>
      <c r="F55" s="22">
        <v>4200</v>
      </c>
      <c r="G55" s="22">
        <v>197.51</v>
      </c>
      <c r="H55" s="21">
        <v>2000</v>
      </c>
      <c r="I55" s="21"/>
      <c r="J55" s="21">
        <v>3000</v>
      </c>
      <c r="K55" s="21">
        <v>0</v>
      </c>
      <c r="L55" s="22">
        <f t="shared" si="2"/>
        <v>3000</v>
      </c>
    </row>
    <row r="56" spans="1:12" x14ac:dyDescent="0.25">
      <c r="A56" t="s">
        <v>1506</v>
      </c>
      <c r="B56" s="7" t="s">
        <v>1507</v>
      </c>
      <c r="C56" s="22">
        <v>0</v>
      </c>
      <c r="D56" s="22">
        <v>3571</v>
      </c>
      <c r="E56" s="22">
        <v>4688</v>
      </c>
      <c r="F56" s="22">
        <v>12000</v>
      </c>
      <c r="G56" s="22">
        <v>6118.66</v>
      </c>
      <c r="H56" s="21">
        <v>8000</v>
      </c>
      <c r="I56" s="21"/>
      <c r="J56" s="21">
        <v>11000</v>
      </c>
      <c r="K56" s="21">
        <v>0</v>
      </c>
      <c r="L56" s="22">
        <f t="shared" si="2"/>
        <v>11000</v>
      </c>
    </row>
    <row r="57" spans="1:12" x14ac:dyDescent="0.25">
      <c r="A57" t="s">
        <v>1508</v>
      </c>
      <c r="B57" s="7" t="s">
        <v>477</v>
      </c>
      <c r="C57" s="22">
        <v>0</v>
      </c>
      <c r="D57" s="22">
        <v>228</v>
      </c>
      <c r="E57" s="22">
        <v>554</v>
      </c>
      <c r="F57" s="22">
        <v>1000</v>
      </c>
      <c r="G57" s="22">
        <v>1212.9100000000001</v>
      </c>
      <c r="H57" s="21">
        <v>1500</v>
      </c>
      <c r="I57" s="21"/>
      <c r="J57" s="21">
        <v>1000</v>
      </c>
      <c r="K57" s="21">
        <v>0</v>
      </c>
      <c r="L57" s="22">
        <f t="shared" si="2"/>
        <v>1000</v>
      </c>
    </row>
    <row r="58" spans="1:12" x14ac:dyDescent="0.25">
      <c r="C58" s="22"/>
      <c r="D58" s="22"/>
      <c r="E58" s="22"/>
      <c r="F58" s="22"/>
      <c r="G58" s="22"/>
      <c r="H58" s="21"/>
      <c r="I58" s="21"/>
      <c r="J58" s="21"/>
      <c r="K58" s="21"/>
      <c r="L58" s="22"/>
    </row>
    <row r="59" spans="1:12" x14ac:dyDescent="0.25">
      <c r="C59" s="22"/>
      <c r="D59" s="22"/>
      <c r="E59" s="22"/>
      <c r="F59" s="22"/>
      <c r="G59" s="22"/>
      <c r="H59" s="21"/>
      <c r="I59" s="21"/>
      <c r="J59" s="21"/>
      <c r="K59" s="21"/>
      <c r="L59" s="22"/>
    </row>
    <row r="60" spans="1:12" x14ac:dyDescent="0.25">
      <c r="A60" t="s">
        <v>109</v>
      </c>
      <c r="C60" s="22"/>
      <c r="D60" s="22"/>
      <c r="E60" s="22"/>
      <c r="F60" s="22"/>
      <c r="G60" s="22"/>
      <c r="H60" s="21"/>
      <c r="I60" s="21"/>
      <c r="J60" s="21"/>
      <c r="K60" s="21"/>
      <c r="L60" s="22"/>
    </row>
    <row r="61" spans="1:12" x14ac:dyDescent="0.25">
      <c r="B61" t="s">
        <v>478</v>
      </c>
      <c r="C61" s="20">
        <f t="shared" ref="C61:H61" si="3">SUM(C38:C57)</f>
        <v>7736</v>
      </c>
      <c r="D61" s="20">
        <f t="shared" si="3"/>
        <v>9532</v>
      </c>
      <c r="E61" s="20">
        <f t="shared" si="3"/>
        <v>37459</v>
      </c>
      <c r="F61" s="20">
        <f t="shared" si="3"/>
        <v>28295</v>
      </c>
      <c r="G61" s="20">
        <f t="shared" si="3"/>
        <v>40227.48000000001</v>
      </c>
      <c r="H61" s="20">
        <f t="shared" si="3"/>
        <v>48285</v>
      </c>
      <c r="I61" s="20"/>
      <c r="J61" s="20">
        <f>SUM(J38:J57)</f>
        <v>27139.7</v>
      </c>
      <c r="K61" s="20">
        <f>SUM(K38:K57)</f>
        <v>0</v>
      </c>
      <c r="L61" s="20">
        <f>SUM(L38:L57)</f>
        <v>27139.7</v>
      </c>
    </row>
    <row r="62" spans="1:12" x14ac:dyDescent="0.25">
      <c r="C62" s="22"/>
      <c r="D62" s="22"/>
      <c r="E62" s="22"/>
      <c r="F62" s="22"/>
      <c r="G62" s="22"/>
      <c r="H62" s="21"/>
      <c r="I62" s="21"/>
      <c r="J62" s="21"/>
      <c r="K62" s="21"/>
      <c r="L62" s="22"/>
    </row>
    <row r="63" spans="1:12" x14ac:dyDescent="0.25">
      <c r="A63" t="s">
        <v>489</v>
      </c>
      <c r="C63" s="22"/>
      <c r="D63" s="22"/>
      <c r="E63" s="22"/>
      <c r="F63" s="22"/>
      <c r="G63" s="22"/>
      <c r="H63" s="21"/>
      <c r="I63" s="21"/>
      <c r="J63" s="21"/>
      <c r="K63" s="21"/>
      <c r="L63" s="22"/>
    </row>
    <row r="64" spans="1:12" x14ac:dyDescent="0.25">
      <c r="A64" t="s">
        <v>18</v>
      </c>
      <c r="C64" s="22"/>
      <c r="D64" s="22"/>
      <c r="E64" s="22"/>
      <c r="F64" s="22"/>
      <c r="G64" s="22"/>
      <c r="H64" s="21"/>
      <c r="I64" s="21"/>
      <c r="J64" s="21"/>
      <c r="K64" s="21"/>
      <c r="L64" s="22"/>
    </row>
    <row r="65" spans="1:12" x14ac:dyDescent="0.25">
      <c r="A65" t="s">
        <v>1509</v>
      </c>
      <c r="B65" s="7" t="s">
        <v>491</v>
      </c>
      <c r="C65" s="22">
        <v>6302</v>
      </c>
      <c r="D65" s="22">
        <v>2179</v>
      </c>
      <c r="E65" s="22">
        <v>3170</v>
      </c>
      <c r="F65" s="22">
        <v>14000</v>
      </c>
      <c r="G65" s="22">
        <v>2493.52</v>
      </c>
      <c r="H65" s="21">
        <v>7000</v>
      </c>
      <c r="I65" s="21"/>
      <c r="J65" s="21">
        <v>10000</v>
      </c>
      <c r="K65" s="21">
        <v>0</v>
      </c>
      <c r="L65" s="22">
        <f>SUM(J65+K65)</f>
        <v>10000</v>
      </c>
    </row>
    <row r="66" spans="1:12" x14ac:dyDescent="0.25">
      <c r="A66" t="s">
        <v>1510</v>
      </c>
      <c r="B66" s="7" t="s">
        <v>493</v>
      </c>
      <c r="C66" s="22">
        <v>0</v>
      </c>
      <c r="D66" s="22">
        <v>0</v>
      </c>
      <c r="E66" s="22">
        <v>0</v>
      </c>
      <c r="F66" s="22">
        <v>380</v>
      </c>
      <c r="G66" s="22">
        <v>0</v>
      </c>
      <c r="H66" s="21">
        <v>300</v>
      </c>
      <c r="I66" s="21"/>
      <c r="J66" s="21">
        <v>0</v>
      </c>
      <c r="K66" s="21">
        <v>0</v>
      </c>
      <c r="L66" s="22">
        <f t="shared" ref="L66:L69" si="4">SUM(J66+K66)</f>
        <v>0</v>
      </c>
    </row>
    <row r="67" spans="1:12" x14ac:dyDescent="0.25">
      <c r="A67" t="s">
        <v>1511</v>
      </c>
      <c r="B67" s="7" t="s">
        <v>489</v>
      </c>
      <c r="C67" s="22">
        <v>4285</v>
      </c>
      <c r="D67" s="22">
        <v>3301</v>
      </c>
      <c r="E67" s="22">
        <v>4953</v>
      </c>
      <c r="F67" s="22">
        <v>6000</v>
      </c>
      <c r="G67" s="22">
        <v>4446.34</v>
      </c>
      <c r="H67" s="21">
        <v>5500</v>
      </c>
      <c r="I67" s="21"/>
      <c r="J67" s="21">
        <v>6000</v>
      </c>
      <c r="K67" s="21">
        <v>0</v>
      </c>
      <c r="L67" s="22">
        <f t="shared" si="4"/>
        <v>6000</v>
      </c>
    </row>
    <row r="68" spans="1:12" hidden="1" x14ac:dyDescent="0.25">
      <c r="A68" t="s">
        <v>1512</v>
      </c>
      <c r="B68" s="7" t="s">
        <v>498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1">
        <v>0</v>
      </c>
      <c r="I68" s="21"/>
      <c r="J68" s="21">
        <v>0</v>
      </c>
      <c r="K68" s="21">
        <v>0</v>
      </c>
      <c r="L68" s="22">
        <f t="shared" si="4"/>
        <v>0</v>
      </c>
    </row>
    <row r="69" spans="1:12" hidden="1" x14ac:dyDescent="0.25">
      <c r="A69" t="s">
        <v>1513</v>
      </c>
      <c r="B69" s="7" t="s">
        <v>500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1">
        <v>0</v>
      </c>
      <c r="I69" s="21"/>
      <c r="J69" s="21">
        <v>0</v>
      </c>
      <c r="K69" s="21">
        <v>0</v>
      </c>
      <c r="L69" s="22">
        <f t="shared" si="4"/>
        <v>0</v>
      </c>
    </row>
    <row r="70" spans="1:12" x14ac:dyDescent="0.25">
      <c r="C70" s="22"/>
      <c r="D70" s="22"/>
      <c r="E70" s="22"/>
      <c r="F70" s="22"/>
      <c r="G70" s="22"/>
      <c r="H70" s="21"/>
      <c r="I70" s="21"/>
      <c r="J70" s="21"/>
      <c r="K70" s="21"/>
      <c r="L70" s="22"/>
    </row>
    <row r="71" spans="1:12" x14ac:dyDescent="0.25">
      <c r="C71" s="22"/>
      <c r="D71" s="22"/>
      <c r="E71" s="22"/>
      <c r="F71" s="22"/>
      <c r="G71" s="22"/>
      <c r="H71" s="21"/>
      <c r="I71" s="21"/>
      <c r="J71" s="21"/>
      <c r="K71" s="21"/>
      <c r="L71" s="22"/>
    </row>
    <row r="72" spans="1:12" x14ac:dyDescent="0.25">
      <c r="A72" t="s">
        <v>109</v>
      </c>
      <c r="C72" s="22"/>
      <c r="D72" s="22"/>
      <c r="E72" s="22"/>
      <c r="F72" s="22"/>
      <c r="G72" s="22"/>
      <c r="H72" s="21"/>
      <c r="I72" s="21"/>
      <c r="J72" s="21"/>
      <c r="K72" s="21"/>
      <c r="L72" s="22"/>
    </row>
    <row r="73" spans="1:12" x14ac:dyDescent="0.25">
      <c r="B73" t="s">
        <v>489</v>
      </c>
      <c r="C73" s="20">
        <f t="shared" ref="C73:H73" si="5">SUM(C65:C69)</f>
        <v>10587</v>
      </c>
      <c r="D73" s="20">
        <f t="shared" si="5"/>
        <v>5480</v>
      </c>
      <c r="E73" s="20">
        <f t="shared" si="5"/>
        <v>8123</v>
      </c>
      <c r="F73" s="20">
        <f t="shared" si="5"/>
        <v>20380</v>
      </c>
      <c r="G73" s="20">
        <f t="shared" si="5"/>
        <v>6939.8600000000006</v>
      </c>
      <c r="H73" s="20">
        <f t="shared" si="5"/>
        <v>12800</v>
      </c>
      <c r="I73" s="20"/>
      <c r="J73" s="20">
        <f>SUM(J65:J69)</f>
        <v>16000</v>
      </c>
      <c r="K73" s="20">
        <f>SUM(K65:K69)</f>
        <v>0</v>
      </c>
      <c r="L73" s="20">
        <f>SUM(L65:L69)</f>
        <v>16000</v>
      </c>
    </row>
    <row r="74" spans="1:12" x14ac:dyDescent="0.25">
      <c r="C74" s="22"/>
      <c r="D74" s="22"/>
      <c r="E74" s="22"/>
      <c r="F74" s="22"/>
      <c r="G74" s="22"/>
      <c r="H74" s="21"/>
      <c r="I74" s="21"/>
      <c r="J74" s="21"/>
      <c r="K74" s="21"/>
      <c r="L74" s="22"/>
    </row>
    <row r="75" spans="1:12" x14ac:dyDescent="0.25">
      <c r="A75" t="s">
        <v>501</v>
      </c>
      <c r="C75" s="22"/>
      <c r="D75" s="22"/>
      <c r="E75" s="22"/>
      <c r="F75" s="22"/>
      <c r="G75" s="22"/>
      <c r="H75" s="21"/>
      <c r="I75" s="21"/>
      <c r="J75" s="21"/>
      <c r="K75" s="21"/>
      <c r="L75" s="22"/>
    </row>
    <row r="76" spans="1:12" x14ac:dyDescent="0.25">
      <c r="A76" t="s">
        <v>18</v>
      </c>
      <c r="C76" s="22"/>
      <c r="D76" s="22"/>
      <c r="E76" s="22"/>
      <c r="F76" s="22"/>
      <c r="G76" s="22"/>
      <c r="H76" s="21"/>
      <c r="I76" s="21"/>
      <c r="J76" s="21"/>
      <c r="K76" s="21"/>
      <c r="L76" s="22"/>
    </row>
    <row r="77" spans="1:12" x14ac:dyDescent="0.25">
      <c r="A77" t="s">
        <v>1515</v>
      </c>
      <c r="B77" s="7" t="s">
        <v>503</v>
      </c>
      <c r="C77" s="22">
        <v>3774</v>
      </c>
      <c r="D77" s="22">
        <v>4373</v>
      </c>
      <c r="E77" s="22">
        <v>5301</v>
      </c>
      <c r="F77" s="22">
        <v>5800</v>
      </c>
      <c r="G77" s="22">
        <v>5317.94</v>
      </c>
      <c r="H77" s="21">
        <v>5800</v>
      </c>
      <c r="I77" s="21"/>
      <c r="J77" s="21">
        <v>6300</v>
      </c>
      <c r="K77" s="21">
        <v>0</v>
      </c>
      <c r="L77" s="22">
        <f>SUM(J77+K77)</f>
        <v>6300</v>
      </c>
    </row>
    <row r="78" spans="1:12" x14ac:dyDescent="0.25">
      <c r="A78" t="s">
        <v>1516</v>
      </c>
      <c r="B78" s="7" t="s">
        <v>519</v>
      </c>
      <c r="C78" s="22">
        <v>0</v>
      </c>
      <c r="D78" s="22">
        <v>817</v>
      </c>
      <c r="E78" s="22">
        <v>597</v>
      </c>
      <c r="F78" s="22">
        <v>3000</v>
      </c>
      <c r="G78" s="22">
        <v>540</v>
      </c>
      <c r="H78" s="21">
        <v>2500</v>
      </c>
      <c r="I78" s="21"/>
      <c r="J78" s="21">
        <v>3150</v>
      </c>
      <c r="K78" s="21">
        <v>0</v>
      </c>
      <c r="L78" s="22">
        <f t="shared" ref="L78:L79" si="6">SUM(J78+K78)</f>
        <v>3150</v>
      </c>
    </row>
    <row r="79" spans="1:12" x14ac:dyDescent="0.25">
      <c r="A79" t="s">
        <v>1517</v>
      </c>
      <c r="B79" s="7" t="s">
        <v>521</v>
      </c>
      <c r="C79" s="22">
        <v>2214</v>
      </c>
      <c r="D79" s="22">
        <v>2200</v>
      </c>
      <c r="E79" s="22">
        <v>2560</v>
      </c>
      <c r="F79" s="22">
        <v>4020</v>
      </c>
      <c r="G79" s="22">
        <v>3518.7</v>
      </c>
      <c r="H79" s="21">
        <v>4000</v>
      </c>
      <c r="I79" s="21"/>
      <c r="J79" s="21">
        <v>4020</v>
      </c>
      <c r="K79" s="21">
        <v>0</v>
      </c>
      <c r="L79" s="22">
        <f t="shared" si="6"/>
        <v>4020</v>
      </c>
    </row>
    <row r="80" spans="1:12" x14ac:dyDescent="0.25">
      <c r="C80" s="22"/>
      <c r="D80" s="22"/>
      <c r="E80" s="22"/>
      <c r="F80" s="22"/>
      <c r="G80" s="22"/>
      <c r="H80" s="21"/>
      <c r="I80" s="21"/>
      <c r="J80" s="21"/>
      <c r="K80" s="21"/>
      <c r="L80" s="22"/>
    </row>
    <row r="81" spans="1:12" x14ac:dyDescent="0.25">
      <c r="C81" s="22"/>
      <c r="D81" s="22"/>
      <c r="E81" s="22"/>
      <c r="F81" s="22"/>
      <c r="G81" s="22"/>
      <c r="H81" s="21"/>
      <c r="I81" s="21"/>
      <c r="J81" s="21"/>
      <c r="K81" s="21"/>
      <c r="L81" s="22"/>
    </row>
    <row r="82" spans="1:12" x14ac:dyDescent="0.25">
      <c r="A82" t="s">
        <v>109</v>
      </c>
      <c r="C82" s="22"/>
      <c r="D82" s="22"/>
      <c r="E82" s="22"/>
      <c r="F82" s="22"/>
      <c r="G82" s="22"/>
      <c r="H82" s="21"/>
      <c r="I82" s="21"/>
      <c r="J82" s="21"/>
      <c r="K82" s="21"/>
      <c r="L82" s="22"/>
    </row>
    <row r="83" spans="1:12" x14ac:dyDescent="0.25">
      <c r="B83" t="s">
        <v>501</v>
      </c>
      <c r="C83" s="20">
        <f t="shared" ref="C83:H83" si="7">SUM(C77:C79)</f>
        <v>5988</v>
      </c>
      <c r="D83" s="20">
        <f t="shared" si="7"/>
        <v>7390</v>
      </c>
      <c r="E83" s="20">
        <f t="shared" si="7"/>
        <v>8458</v>
      </c>
      <c r="F83" s="20">
        <f t="shared" si="7"/>
        <v>12820</v>
      </c>
      <c r="G83" s="20">
        <f t="shared" si="7"/>
        <v>9376.64</v>
      </c>
      <c r="H83" s="20">
        <f t="shared" si="7"/>
        <v>12300</v>
      </c>
      <c r="I83" s="20"/>
      <c r="J83" s="20">
        <f>SUM(J77:J79)</f>
        <v>13470</v>
      </c>
      <c r="K83" s="20">
        <f>SUM(K77:K79)</f>
        <v>0</v>
      </c>
      <c r="L83" s="20">
        <f>SUM(L77:L79)</f>
        <v>13470</v>
      </c>
    </row>
    <row r="84" spans="1:12" x14ac:dyDescent="0.25">
      <c r="C84" s="22"/>
      <c r="D84" s="22"/>
      <c r="E84" s="22"/>
      <c r="F84" s="22"/>
      <c r="G84" s="22"/>
      <c r="H84" s="21"/>
      <c r="I84" s="21"/>
      <c r="J84" s="21"/>
      <c r="K84" s="21"/>
      <c r="L84" s="22"/>
    </row>
    <row r="85" spans="1:12" x14ac:dyDescent="0.25">
      <c r="A85" t="s">
        <v>530</v>
      </c>
      <c r="C85" s="22"/>
      <c r="D85" s="22"/>
      <c r="E85" s="22"/>
      <c r="F85" s="22"/>
      <c r="G85" s="22"/>
      <c r="H85" s="21"/>
      <c r="I85" s="21"/>
      <c r="J85" s="21"/>
      <c r="K85" s="21"/>
      <c r="L85" s="22"/>
    </row>
    <row r="86" spans="1:12" x14ac:dyDescent="0.25">
      <c r="A86" t="s">
        <v>18</v>
      </c>
      <c r="B86" s="7" t="s">
        <v>526</v>
      </c>
      <c r="C86" s="22"/>
      <c r="D86" s="22"/>
      <c r="E86" s="22"/>
      <c r="F86" s="22"/>
      <c r="G86" s="22"/>
      <c r="H86" s="21"/>
      <c r="I86" s="21"/>
      <c r="J86" s="21"/>
      <c r="K86" s="21"/>
      <c r="L86" s="22"/>
    </row>
    <row r="87" spans="1:12" x14ac:dyDescent="0.25">
      <c r="A87" t="s">
        <v>1518</v>
      </c>
      <c r="B87" s="7" t="s">
        <v>530</v>
      </c>
      <c r="C87" s="22">
        <v>0</v>
      </c>
      <c r="D87" s="22">
        <v>0</v>
      </c>
      <c r="E87" s="22">
        <v>0</v>
      </c>
      <c r="F87" s="22">
        <v>17000</v>
      </c>
      <c r="G87" s="22">
        <v>0</v>
      </c>
      <c r="H87" s="21">
        <v>0</v>
      </c>
      <c r="I87" s="21"/>
      <c r="J87" s="21">
        <v>0</v>
      </c>
      <c r="K87" s="21">
        <v>0</v>
      </c>
      <c r="L87" s="22">
        <f>SUM(J87+K87)</f>
        <v>0</v>
      </c>
    </row>
    <row r="88" spans="1:12" x14ac:dyDescent="0.25">
      <c r="A88" t="s">
        <v>1519</v>
      </c>
      <c r="B88" s="7" t="s">
        <v>534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1">
        <v>0</v>
      </c>
      <c r="I88" s="21"/>
      <c r="J88" s="21">
        <v>0</v>
      </c>
      <c r="K88" s="21">
        <v>0</v>
      </c>
      <c r="L88" s="22">
        <f>SUM(J88+K88)</f>
        <v>0</v>
      </c>
    </row>
    <row r="89" spans="1:12" x14ac:dyDescent="0.25">
      <c r="C89" s="22"/>
      <c r="D89" s="22"/>
      <c r="E89" s="22"/>
      <c r="F89" s="22"/>
      <c r="G89" s="22"/>
      <c r="H89" s="21"/>
      <c r="I89" s="21"/>
      <c r="J89" s="21"/>
      <c r="K89" s="21"/>
      <c r="L89" s="22"/>
    </row>
    <row r="90" spans="1:12" x14ac:dyDescent="0.25">
      <c r="C90" s="22"/>
      <c r="D90" s="22"/>
      <c r="E90" s="22"/>
      <c r="F90" s="22"/>
      <c r="G90" s="22"/>
      <c r="H90" s="21"/>
      <c r="I90" s="21"/>
      <c r="J90" s="21"/>
      <c r="K90" s="21"/>
      <c r="L90" s="22"/>
    </row>
    <row r="91" spans="1:12" x14ac:dyDescent="0.25">
      <c r="A91" t="s">
        <v>109</v>
      </c>
      <c r="C91" s="22"/>
      <c r="D91" s="22"/>
      <c r="E91" s="22"/>
      <c r="F91" s="22"/>
      <c r="G91" s="22"/>
      <c r="H91" s="21"/>
      <c r="I91" s="21"/>
      <c r="J91" s="21"/>
      <c r="K91" s="21"/>
      <c r="L91" s="22"/>
    </row>
    <row r="92" spans="1:12" x14ac:dyDescent="0.25">
      <c r="B92" t="s">
        <v>530</v>
      </c>
      <c r="C92" s="20">
        <f t="shared" ref="C92:H92" si="8">SUM(C87:C88)</f>
        <v>0</v>
      </c>
      <c r="D92" s="20">
        <f t="shared" si="8"/>
        <v>0</v>
      </c>
      <c r="E92" s="20">
        <f t="shared" si="8"/>
        <v>0</v>
      </c>
      <c r="F92" s="20">
        <f t="shared" si="8"/>
        <v>17000</v>
      </c>
      <c r="G92" s="20">
        <f t="shared" si="8"/>
        <v>0</v>
      </c>
      <c r="H92" s="20">
        <f t="shared" si="8"/>
        <v>0</v>
      </c>
      <c r="I92" s="20"/>
      <c r="J92" s="20">
        <f>SUM(J87:J88)</f>
        <v>0</v>
      </c>
      <c r="K92" s="20">
        <f>SUM(K87:K88)</f>
        <v>0</v>
      </c>
      <c r="L92" s="20">
        <f>SUM(L87:L88)</f>
        <v>0</v>
      </c>
    </row>
    <row r="95" spans="1:12" x14ac:dyDescent="0.25">
      <c r="A95" t="s">
        <v>109</v>
      </c>
    </row>
    <row r="96" spans="1:12" x14ac:dyDescent="0.25">
      <c r="A96">
        <v>45</v>
      </c>
      <c r="B96" t="s">
        <v>3702</v>
      </c>
      <c r="C96" s="10">
        <f t="shared" ref="C96:H96" si="9">C34+C61+C73+C83+C92</f>
        <v>215209</v>
      </c>
      <c r="D96" s="10">
        <f t="shared" si="9"/>
        <v>271486</v>
      </c>
      <c r="E96" s="10">
        <f t="shared" si="9"/>
        <v>333800</v>
      </c>
      <c r="F96" s="10">
        <f t="shared" si="9"/>
        <v>387126</v>
      </c>
      <c r="G96" s="10">
        <f t="shared" si="9"/>
        <v>311479.13</v>
      </c>
      <c r="H96" s="10">
        <f t="shared" si="9"/>
        <v>361226</v>
      </c>
      <c r="I96" s="10"/>
      <c r="J96" s="10">
        <f>J34+J61+J73+J83+J92</f>
        <v>367824.61699999997</v>
      </c>
      <c r="K96" s="10">
        <f>K34+K61+K73+K83+K92</f>
        <v>0</v>
      </c>
      <c r="L96" s="10">
        <f>L34+L61+L73+L83+L92</f>
        <v>367824.61699999997</v>
      </c>
    </row>
  </sheetData>
  <sheetProtection algorithmName="SHA-512" hashValue="N72eS7mQB8tOmJ3mA9la1CyAZol6swGHoo+KiCnnuJNBy8lvrFkBeCUJ/4DO8I1DWEdsMFDnLiqQM5nrag9iPA==" saltValue="DAbMV4f6IJg29bRuCyqc+A==" spinCount="100000" sheet="1" objects="1" scenarios="1" insertRows="0"/>
  <pageMargins left="0.25" right="0.25" top="0.75" bottom="0.75" header="0.3" footer="0.3"/>
  <pageSetup scale="76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EA7C-4F61-4F58-9531-640B599A14A4}">
  <sheetPr>
    <pageSetUpPr fitToPage="1"/>
  </sheetPr>
  <dimension ref="A1:L48"/>
  <sheetViews>
    <sheetView zoomScaleNormal="100" workbookViewId="0">
      <selection activeCell="A27" sqref="A27:XFD28"/>
    </sheetView>
  </sheetViews>
  <sheetFormatPr defaultRowHeight="15" x14ac:dyDescent="0.25"/>
  <cols>
    <col min="2" max="2" width="28.140625" style="7" bestFit="1" customWidth="1"/>
    <col min="3" max="3" width="13.28515625" bestFit="1" customWidth="1"/>
    <col min="4" max="4" width="15" bestFit="1" customWidth="1"/>
    <col min="5" max="5" width="11.5703125" bestFit="1" customWidth="1"/>
    <col min="6" max="6" width="14.140625" bestFit="1" customWidth="1"/>
    <col min="7" max="7" width="12.85546875" bestFit="1" customWidth="1"/>
    <col min="8" max="8" width="13.28515625" bestFit="1" customWidth="1"/>
    <col min="9" max="9" width="10.7109375" customWidth="1"/>
    <col min="10" max="10" width="13.28515625" bestFit="1" customWidth="1"/>
    <col min="11" max="11" width="14.7109375" bestFit="1" customWidth="1"/>
    <col min="12" max="12" width="14.140625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3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s="7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2" x14ac:dyDescent="0.25">
      <c r="A8" t="s">
        <v>3703</v>
      </c>
    </row>
    <row r="11" spans="1:12" x14ac:dyDescent="0.25">
      <c r="A11" t="s">
        <v>478</v>
      </c>
    </row>
    <row r="12" spans="1:12" x14ac:dyDescent="0.25">
      <c r="A12" t="s">
        <v>18</v>
      </c>
      <c r="B12" s="7" t="s">
        <v>21</v>
      </c>
    </row>
    <row r="13" spans="1:12" x14ac:dyDescent="0.25">
      <c r="A13" t="s">
        <v>1524</v>
      </c>
      <c r="B13" s="7" t="s">
        <v>449</v>
      </c>
      <c r="C13" s="22">
        <v>6059</v>
      </c>
      <c r="D13" s="22">
        <v>7698</v>
      </c>
      <c r="E13" s="22">
        <v>5424</v>
      </c>
      <c r="F13" s="22">
        <v>10000</v>
      </c>
      <c r="G13" s="22">
        <v>10413.709999999999</v>
      </c>
      <c r="H13" s="21">
        <v>13000</v>
      </c>
      <c r="I13" s="21"/>
      <c r="J13" s="21">
        <v>12000</v>
      </c>
      <c r="K13" s="21">
        <v>0</v>
      </c>
      <c r="L13" s="22">
        <f>SUM(J13+K13)</f>
        <v>12000</v>
      </c>
    </row>
    <row r="14" spans="1:12" x14ac:dyDescent="0.25">
      <c r="A14" t="s">
        <v>1525</v>
      </c>
      <c r="B14" s="7" t="s">
        <v>451</v>
      </c>
      <c r="C14" s="22">
        <v>3100</v>
      </c>
      <c r="D14" s="22">
        <v>4664</v>
      </c>
      <c r="E14" s="22">
        <v>5950</v>
      </c>
      <c r="F14" s="22">
        <v>5000</v>
      </c>
      <c r="G14" s="22">
        <v>1349</v>
      </c>
      <c r="H14" s="21">
        <v>3000</v>
      </c>
      <c r="I14" s="21"/>
      <c r="J14" s="21">
        <v>5000</v>
      </c>
      <c r="K14" s="21">
        <v>0</v>
      </c>
      <c r="L14" s="22">
        <f t="shared" ref="L14:L18" si="0">SUM(J14+K14)</f>
        <v>5000</v>
      </c>
    </row>
    <row r="15" spans="1:12" x14ac:dyDescent="0.25">
      <c r="A15" t="s">
        <v>1526</v>
      </c>
      <c r="B15" s="7" t="s">
        <v>457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1">
        <v>0</v>
      </c>
      <c r="I15" s="21"/>
      <c r="J15" s="21">
        <v>0</v>
      </c>
      <c r="K15" s="21">
        <v>0</v>
      </c>
      <c r="L15" s="22">
        <f t="shared" si="0"/>
        <v>0</v>
      </c>
    </row>
    <row r="16" spans="1:12" x14ac:dyDescent="0.25">
      <c r="A16" t="s">
        <v>1527</v>
      </c>
      <c r="B16" s="7" t="s">
        <v>1528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1">
        <v>0</v>
      </c>
      <c r="I16" s="21"/>
      <c r="J16" s="21">
        <v>0</v>
      </c>
      <c r="K16" s="21">
        <v>0</v>
      </c>
      <c r="L16" s="22">
        <f t="shared" si="0"/>
        <v>0</v>
      </c>
    </row>
    <row r="17" spans="1:12" x14ac:dyDescent="0.25">
      <c r="A17" t="s">
        <v>1529</v>
      </c>
      <c r="B17" s="7" t="s">
        <v>475</v>
      </c>
      <c r="C17" s="22">
        <v>3969</v>
      </c>
      <c r="D17" s="22">
        <v>3266</v>
      </c>
      <c r="E17" s="22">
        <v>8585</v>
      </c>
      <c r="F17" s="22">
        <v>5000</v>
      </c>
      <c r="G17" s="22">
        <v>7986.52</v>
      </c>
      <c r="H17" s="21">
        <v>9000</v>
      </c>
      <c r="I17" s="21"/>
      <c r="J17" s="21">
        <v>7000</v>
      </c>
      <c r="K17" s="21">
        <v>0</v>
      </c>
      <c r="L17" s="22">
        <f t="shared" si="0"/>
        <v>7000</v>
      </c>
    </row>
    <row r="18" spans="1:12" x14ac:dyDescent="0.25">
      <c r="A18" t="s">
        <v>1530</v>
      </c>
      <c r="B18" s="7" t="s">
        <v>762</v>
      </c>
      <c r="C18" s="22">
        <v>0</v>
      </c>
      <c r="D18" s="22">
        <v>0</v>
      </c>
      <c r="E18" s="22">
        <v>0</v>
      </c>
      <c r="F18" s="22">
        <v>0</v>
      </c>
      <c r="G18" s="22">
        <v>648</v>
      </c>
      <c r="H18" s="21">
        <v>1000</v>
      </c>
      <c r="I18" s="21"/>
      <c r="J18" s="21">
        <v>0</v>
      </c>
      <c r="K18" s="21">
        <v>0</v>
      </c>
      <c r="L18" s="22">
        <f t="shared" si="0"/>
        <v>0</v>
      </c>
    </row>
    <row r="19" spans="1:12" x14ac:dyDescent="0.25"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5"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x14ac:dyDescent="0.25">
      <c r="A21" t="s">
        <v>109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x14ac:dyDescent="0.25">
      <c r="B22" s="7" t="s">
        <v>478</v>
      </c>
      <c r="C22" s="22">
        <f t="shared" ref="C22:H22" si="1">SUM(C13:C18)</f>
        <v>13128</v>
      </c>
      <c r="D22" s="22">
        <f t="shared" si="1"/>
        <v>15628</v>
      </c>
      <c r="E22" s="22">
        <f t="shared" si="1"/>
        <v>19959</v>
      </c>
      <c r="F22" s="22">
        <f t="shared" si="1"/>
        <v>20000</v>
      </c>
      <c r="G22" s="22">
        <f t="shared" si="1"/>
        <v>20397.23</v>
      </c>
      <c r="H22" s="22">
        <f t="shared" si="1"/>
        <v>26000</v>
      </c>
      <c r="I22" s="22"/>
      <c r="J22" s="22">
        <f>SUM(J13:J18)</f>
        <v>24000</v>
      </c>
      <c r="K22" s="22">
        <f>SUM(K13:K18)</f>
        <v>0</v>
      </c>
      <c r="L22" s="22">
        <f>SUM(L13:L18)</f>
        <v>24000</v>
      </c>
    </row>
    <row r="23" spans="1:12" x14ac:dyDescent="0.25"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5">
      <c r="A24" t="s">
        <v>489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x14ac:dyDescent="0.25">
      <c r="A25" t="s">
        <v>18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x14ac:dyDescent="0.25">
      <c r="A26" t="s">
        <v>1531</v>
      </c>
      <c r="B26" s="7" t="s">
        <v>489</v>
      </c>
      <c r="C26" s="22">
        <v>268</v>
      </c>
      <c r="D26" s="22">
        <v>2175</v>
      </c>
      <c r="E26" s="22">
        <v>301</v>
      </c>
      <c r="F26" s="22">
        <v>2500</v>
      </c>
      <c r="G26" s="22">
        <v>92.58</v>
      </c>
      <c r="H26" s="21">
        <v>500</v>
      </c>
      <c r="I26" s="21"/>
      <c r="J26" s="21">
        <v>1500</v>
      </c>
      <c r="K26" s="21">
        <v>0</v>
      </c>
      <c r="L26" s="22">
        <f>SUM(J26+K26)</f>
        <v>1500</v>
      </c>
    </row>
    <row r="27" spans="1:12" hidden="1" x14ac:dyDescent="0.25">
      <c r="A27" t="s">
        <v>1532</v>
      </c>
      <c r="B27" s="7" t="s">
        <v>498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ref="L27:L28" si="2">SUM(J27+K27)</f>
        <v>0</v>
      </c>
    </row>
    <row r="28" spans="1:12" hidden="1" x14ac:dyDescent="0.25">
      <c r="A28" t="s">
        <v>1533</v>
      </c>
      <c r="B28" s="7" t="s">
        <v>500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2"/>
        <v>0</v>
      </c>
    </row>
    <row r="29" spans="1:12" x14ac:dyDescent="0.25"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x14ac:dyDescent="0.25"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x14ac:dyDescent="0.25">
      <c r="A31" t="s">
        <v>109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x14ac:dyDescent="0.25">
      <c r="B32" s="7" t="s">
        <v>489</v>
      </c>
      <c r="C32" s="22">
        <f t="shared" ref="C32:H32" si="3">SUM(C26:C28)</f>
        <v>268</v>
      </c>
      <c r="D32" s="22">
        <f t="shared" si="3"/>
        <v>2175</v>
      </c>
      <c r="E32" s="22">
        <f t="shared" si="3"/>
        <v>301</v>
      </c>
      <c r="F32" s="22">
        <f t="shared" si="3"/>
        <v>2500</v>
      </c>
      <c r="G32" s="22">
        <f t="shared" si="3"/>
        <v>92.58</v>
      </c>
      <c r="H32" s="22">
        <f t="shared" si="3"/>
        <v>500</v>
      </c>
      <c r="I32" s="22"/>
      <c r="J32" s="22">
        <f>SUM(J26:J28)</f>
        <v>1500</v>
      </c>
      <c r="K32" s="22">
        <f>SUM(K26:K28)</f>
        <v>0</v>
      </c>
      <c r="L32" s="22">
        <f>SUM(L26:L28)</f>
        <v>1500</v>
      </c>
    </row>
    <row r="33" spans="1:12" x14ac:dyDescent="0.25"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x14ac:dyDescent="0.25">
      <c r="A34" t="s">
        <v>501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5">
      <c r="A35" t="s">
        <v>18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25">
      <c r="A36" t="s">
        <v>1534</v>
      </c>
      <c r="B36" s="7" t="s">
        <v>503</v>
      </c>
      <c r="C36" s="22">
        <v>753</v>
      </c>
      <c r="D36" s="22">
        <v>847</v>
      </c>
      <c r="E36" s="22">
        <v>1007</v>
      </c>
      <c r="F36" s="22">
        <v>2500</v>
      </c>
      <c r="G36" s="22">
        <v>1101</v>
      </c>
      <c r="H36" s="21">
        <v>2000</v>
      </c>
      <c r="I36" s="21"/>
      <c r="J36" s="21">
        <v>2500</v>
      </c>
      <c r="K36" s="21">
        <v>0</v>
      </c>
      <c r="L36" s="22">
        <f>SUM(J36+K36)</f>
        <v>2500</v>
      </c>
    </row>
    <row r="37" spans="1:12" x14ac:dyDescent="0.25">
      <c r="A37" t="s">
        <v>1535</v>
      </c>
      <c r="B37" s="7" t="s">
        <v>507</v>
      </c>
      <c r="C37" s="22">
        <v>0</v>
      </c>
      <c r="D37" s="22">
        <v>22479</v>
      </c>
      <c r="E37" s="22">
        <v>0</v>
      </c>
      <c r="F37" s="22">
        <v>0</v>
      </c>
      <c r="G37" s="22">
        <v>0</v>
      </c>
      <c r="H37" s="21">
        <v>0</v>
      </c>
      <c r="I37" s="21"/>
      <c r="J37" s="21">
        <v>0</v>
      </c>
      <c r="K37" s="21">
        <v>0</v>
      </c>
      <c r="L37" s="22">
        <f t="shared" ref="L37:L39" si="4">SUM(J37+K37)</f>
        <v>0</v>
      </c>
    </row>
    <row r="38" spans="1:12" x14ac:dyDescent="0.25">
      <c r="A38" t="s">
        <v>1536</v>
      </c>
      <c r="B38" s="7" t="s">
        <v>519</v>
      </c>
      <c r="C38" s="22">
        <v>116</v>
      </c>
      <c r="D38" s="22">
        <v>10</v>
      </c>
      <c r="E38" s="22">
        <v>0</v>
      </c>
      <c r="F38" s="22">
        <v>500</v>
      </c>
      <c r="G38" s="22">
        <v>0</v>
      </c>
      <c r="H38" s="21">
        <v>0</v>
      </c>
      <c r="I38" s="21"/>
      <c r="J38" s="21">
        <v>500</v>
      </c>
      <c r="K38" s="21">
        <v>0</v>
      </c>
      <c r="L38" s="22">
        <f t="shared" si="4"/>
        <v>500</v>
      </c>
    </row>
    <row r="39" spans="1:12" x14ac:dyDescent="0.25">
      <c r="A39" t="s">
        <v>1537</v>
      </c>
      <c r="B39" s="7" t="s">
        <v>521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1">
        <v>0</v>
      </c>
      <c r="I39" s="21"/>
      <c r="J39" s="21">
        <v>0</v>
      </c>
      <c r="K39" s="21">
        <v>0</v>
      </c>
      <c r="L39" s="22">
        <f t="shared" si="4"/>
        <v>0</v>
      </c>
    </row>
    <row r="40" spans="1:12" x14ac:dyDescent="0.25"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5"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5">
      <c r="A42" t="s">
        <v>109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5">
      <c r="B43" s="7" t="s">
        <v>501</v>
      </c>
      <c r="C43" s="22">
        <f t="shared" ref="C43:H43" si="5">SUM(C36:C39)</f>
        <v>869</v>
      </c>
      <c r="D43" s="22">
        <f t="shared" si="5"/>
        <v>23336</v>
      </c>
      <c r="E43" s="22">
        <f t="shared" si="5"/>
        <v>1007</v>
      </c>
      <c r="F43" s="22">
        <f t="shared" si="5"/>
        <v>3000</v>
      </c>
      <c r="G43" s="22">
        <f t="shared" si="5"/>
        <v>1101</v>
      </c>
      <c r="H43" s="22">
        <f t="shared" si="5"/>
        <v>2000</v>
      </c>
      <c r="I43" s="22"/>
      <c r="J43" s="22">
        <f>SUM(J36:J39)</f>
        <v>3000</v>
      </c>
      <c r="K43" s="22">
        <f>SUM(K36:K39)</f>
        <v>0</v>
      </c>
      <c r="L43" s="22">
        <f>SUM(L36:L39)</f>
        <v>3000</v>
      </c>
    </row>
    <row r="44" spans="1:12" x14ac:dyDescent="0.25"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5"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5">
      <c r="A46" t="s">
        <v>109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x14ac:dyDescent="0.25">
      <c r="A47">
        <v>50</v>
      </c>
      <c r="B47" s="7" t="s">
        <v>3704</v>
      </c>
      <c r="C47" s="22">
        <f t="shared" ref="C47:H47" si="6">C22+C32+C43</f>
        <v>14265</v>
      </c>
      <c r="D47" s="22">
        <f t="shared" si="6"/>
        <v>41139</v>
      </c>
      <c r="E47" s="22">
        <f t="shared" si="6"/>
        <v>21267</v>
      </c>
      <c r="F47" s="22">
        <f t="shared" si="6"/>
        <v>25500</v>
      </c>
      <c r="G47" s="22">
        <f t="shared" si="6"/>
        <v>21590.81</v>
      </c>
      <c r="H47" s="22">
        <f t="shared" si="6"/>
        <v>28500</v>
      </c>
      <c r="I47" s="22"/>
      <c r="J47" s="22">
        <f>J22+J32+J43</f>
        <v>28500</v>
      </c>
      <c r="K47" s="22">
        <f>K22+K32+K43</f>
        <v>0</v>
      </c>
      <c r="L47" s="22">
        <f>L22+L32+L43</f>
        <v>28500</v>
      </c>
    </row>
    <row r="48" spans="1:12" x14ac:dyDescent="0.25">
      <c r="C48" s="25"/>
      <c r="D48" s="25"/>
      <c r="E48" s="25"/>
      <c r="F48" s="25"/>
      <c r="G48" s="25"/>
      <c r="H48" s="25"/>
      <c r="I48" s="25"/>
      <c r="J48" s="25"/>
      <c r="K48" s="25"/>
      <c r="L48" s="25"/>
    </row>
  </sheetData>
  <sheetProtection algorithmName="SHA-512" hashValue="rGBtaN7hV1KP1V6xSRX139QbFdY6Kv6W4e2qKyX3FWjkxrUcmhDlzHNNhqZ33QUtinkiPffq83E/a5hcYyt0KQ==" saltValue="zX/AKzfAZXHL525eRiBdAA==" spinCount="100000" sheet="1" objects="1" scenarios="1" formatRows="0"/>
  <pageMargins left="0.25" right="0.25" top="0.75" bottom="0.75" header="0.3" footer="0.3"/>
  <pageSetup scale="78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75C1-DB49-4715-A748-D3081105A733}">
  <sheetPr>
    <pageSetUpPr fitToPage="1"/>
  </sheetPr>
  <dimension ref="A1:L90"/>
  <sheetViews>
    <sheetView zoomScaleNormal="100" workbookViewId="0">
      <selection activeCell="J17" sqref="J17"/>
    </sheetView>
  </sheetViews>
  <sheetFormatPr defaultRowHeight="15" x14ac:dyDescent="0.25"/>
  <cols>
    <col min="2" max="2" width="32.5703125" style="7" bestFit="1" customWidth="1"/>
    <col min="3" max="3" width="13.140625" style="12" bestFit="1" customWidth="1"/>
    <col min="4" max="4" width="14.85546875" style="12" bestFit="1" customWidth="1"/>
    <col min="5" max="5" width="13.85546875" style="12" bestFit="1" customWidth="1"/>
    <col min="6" max="6" width="14" style="12" bestFit="1" customWidth="1"/>
    <col min="7" max="7" width="12.7109375" style="12" bestFit="1" customWidth="1"/>
    <col min="8" max="8" width="13.140625" style="11" bestFit="1" customWidth="1"/>
    <col min="9" max="9" width="10.7109375" style="11" customWidth="1"/>
    <col min="10" max="10" width="13.140625" style="11" bestFit="1" customWidth="1"/>
    <col min="11" max="11" width="14.5703125" style="11" bestFit="1" customWidth="1"/>
    <col min="12" max="12" width="14" style="12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3705</v>
      </c>
    </row>
    <row r="11" spans="1:12" x14ac:dyDescent="0.25">
      <c r="A11" t="s">
        <v>441</v>
      </c>
      <c r="C11" s="22"/>
      <c r="D11" s="22"/>
      <c r="E11" s="22"/>
      <c r="F11" s="22"/>
      <c r="G11" s="22"/>
      <c r="H11" s="21"/>
      <c r="I11" s="21"/>
      <c r="J11" s="21"/>
      <c r="K11" s="21"/>
      <c r="L11" s="22"/>
    </row>
    <row r="12" spans="1:12" x14ac:dyDescent="0.25">
      <c r="A12" t="s">
        <v>18</v>
      </c>
      <c r="B12" s="7" t="s">
        <v>228</v>
      </c>
      <c r="C12" s="22"/>
      <c r="D12" s="22"/>
      <c r="E12" s="22"/>
      <c r="F12" s="22"/>
      <c r="G12" s="22"/>
      <c r="H12" s="21"/>
      <c r="I12" s="21"/>
      <c r="J12" s="21"/>
      <c r="K12" s="21"/>
      <c r="L12" s="22"/>
    </row>
    <row r="13" spans="1:12" x14ac:dyDescent="0.25">
      <c r="A13" t="s">
        <v>1542</v>
      </c>
      <c r="B13" s="7" t="s">
        <v>569</v>
      </c>
      <c r="C13" s="22">
        <v>0</v>
      </c>
      <c r="D13" s="22">
        <v>7349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1543</v>
      </c>
      <c r="B14" s="7" t="s">
        <v>396</v>
      </c>
      <c r="C14" s="22">
        <v>0</v>
      </c>
      <c r="D14" s="22">
        <v>27</v>
      </c>
      <c r="E14" s="22">
        <v>234</v>
      </c>
      <c r="F14" s="22">
        <v>504</v>
      </c>
      <c r="G14" s="22">
        <v>126</v>
      </c>
      <c r="H14" s="21">
        <v>126</v>
      </c>
      <c r="I14" s="21"/>
      <c r="J14" s="21">
        <v>63</v>
      </c>
      <c r="K14" s="21">
        <v>0</v>
      </c>
      <c r="L14" s="22">
        <f t="shared" ref="L14:L33" si="0">SUM(J14+K14)</f>
        <v>63</v>
      </c>
    </row>
    <row r="15" spans="1:12" x14ac:dyDescent="0.25">
      <c r="A15" t="s">
        <v>1544</v>
      </c>
      <c r="B15" s="7" t="s">
        <v>927</v>
      </c>
      <c r="C15" s="22">
        <v>0</v>
      </c>
      <c r="D15" s="22">
        <v>14225</v>
      </c>
      <c r="E15" s="22">
        <v>12602</v>
      </c>
      <c r="F15" s="22">
        <v>13410</v>
      </c>
      <c r="G15" s="22">
        <v>12828.42</v>
      </c>
      <c r="H15" s="21">
        <v>13515</v>
      </c>
      <c r="I15" s="21"/>
      <c r="J15" s="21">
        <v>10100.5</v>
      </c>
      <c r="K15" s="21">
        <v>0</v>
      </c>
      <c r="L15" s="22">
        <f t="shared" si="0"/>
        <v>10100.5</v>
      </c>
    </row>
    <row r="16" spans="1:12" x14ac:dyDescent="0.25">
      <c r="A16" t="s">
        <v>1545</v>
      </c>
      <c r="B16" s="7" t="s">
        <v>400</v>
      </c>
      <c r="C16" s="22">
        <v>0</v>
      </c>
      <c r="D16" s="22">
        <v>15533</v>
      </c>
      <c r="E16" s="22">
        <v>14817</v>
      </c>
      <c r="F16" s="22">
        <v>16636</v>
      </c>
      <c r="G16" s="22">
        <v>12062.25</v>
      </c>
      <c r="H16" s="21">
        <v>14000</v>
      </c>
      <c r="I16" s="21"/>
      <c r="J16" s="21">
        <f>2996.1+8991.31</f>
        <v>11987.41</v>
      </c>
      <c r="K16" s="21">
        <v>0</v>
      </c>
      <c r="L16" s="22">
        <f t="shared" si="0"/>
        <v>11987.41</v>
      </c>
    </row>
    <row r="17" spans="1:12" x14ac:dyDescent="0.25">
      <c r="A17" t="s">
        <v>1546</v>
      </c>
      <c r="B17" s="7" t="s">
        <v>402</v>
      </c>
      <c r="C17" s="22">
        <v>0</v>
      </c>
      <c r="D17" s="22">
        <v>24388</v>
      </c>
      <c r="E17" s="22">
        <v>28713</v>
      </c>
      <c r="F17" s="22">
        <v>28212</v>
      </c>
      <c r="G17" s="22">
        <v>23056.74</v>
      </c>
      <c r="H17" s="21">
        <v>24000</v>
      </c>
      <c r="I17" s="21"/>
      <c r="J17" s="21">
        <v>15441.48</v>
      </c>
      <c r="K17" s="21">
        <v>0</v>
      </c>
      <c r="L17" s="22">
        <f t="shared" si="0"/>
        <v>15441.48</v>
      </c>
    </row>
    <row r="18" spans="1:12" x14ac:dyDescent="0.25">
      <c r="A18" t="s">
        <v>1547</v>
      </c>
      <c r="B18" s="7" t="s">
        <v>404</v>
      </c>
      <c r="C18" s="22">
        <v>0</v>
      </c>
      <c r="D18" s="22">
        <v>1531</v>
      </c>
      <c r="E18" s="22">
        <v>1318</v>
      </c>
      <c r="F18" s="22">
        <v>1308</v>
      </c>
      <c r="G18" s="22">
        <v>933.57</v>
      </c>
      <c r="H18" s="21">
        <v>1000</v>
      </c>
      <c r="I18" s="21"/>
      <c r="J18" s="21">
        <v>720</v>
      </c>
      <c r="K18" s="21">
        <v>0</v>
      </c>
      <c r="L18" s="22">
        <f t="shared" si="0"/>
        <v>720</v>
      </c>
    </row>
    <row r="19" spans="1:12" x14ac:dyDescent="0.25">
      <c r="A19" t="s">
        <v>1548</v>
      </c>
      <c r="B19" s="7" t="s">
        <v>406</v>
      </c>
      <c r="C19" s="22">
        <v>0</v>
      </c>
      <c r="D19" s="22">
        <v>3066</v>
      </c>
      <c r="E19" s="22">
        <v>604</v>
      </c>
      <c r="F19" s="22">
        <v>664</v>
      </c>
      <c r="G19" s="22">
        <v>1126.83</v>
      </c>
      <c r="H19" s="21">
        <v>1127</v>
      </c>
      <c r="I19" s="21"/>
      <c r="J19" s="21">
        <f>G19*10%+G19</f>
        <v>1239.5129999999999</v>
      </c>
      <c r="K19" s="21">
        <v>0</v>
      </c>
      <c r="L19" s="22">
        <f t="shared" si="0"/>
        <v>1239.5129999999999</v>
      </c>
    </row>
    <row r="20" spans="1:12" x14ac:dyDescent="0.25">
      <c r="A20" t="s">
        <v>1549</v>
      </c>
      <c r="B20" s="7" t="s">
        <v>1550</v>
      </c>
      <c r="C20" s="22">
        <v>0</v>
      </c>
      <c r="D20" s="22">
        <v>91346</v>
      </c>
      <c r="E20" s="22">
        <v>95000</v>
      </c>
      <c r="F20" s="22">
        <v>99750</v>
      </c>
      <c r="G20" s="22">
        <v>102270.42</v>
      </c>
      <c r="H20" s="21">
        <v>102270.42</v>
      </c>
      <c r="I20" s="21"/>
      <c r="J20" s="21">
        <v>0</v>
      </c>
      <c r="K20" s="21">
        <v>0</v>
      </c>
      <c r="L20" s="22">
        <f t="shared" si="0"/>
        <v>0</v>
      </c>
    </row>
    <row r="21" spans="1:12" x14ac:dyDescent="0.25">
      <c r="A21" t="s">
        <v>1551</v>
      </c>
      <c r="B21" s="7" t="s">
        <v>1552</v>
      </c>
      <c r="C21" s="22">
        <v>0</v>
      </c>
      <c r="D21" s="22">
        <v>62004</v>
      </c>
      <c r="E21" s="22">
        <v>64484</v>
      </c>
      <c r="F21" s="22">
        <v>67708</v>
      </c>
      <c r="G21" s="22">
        <v>61342.79</v>
      </c>
      <c r="H21" s="21">
        <v>70575</v>
      </c>
      <c r="I21" s="21"/>
      <c r="J21" s="21">
        <v>80000</v>
      </c>
      <c r="K21" s="21">
        <v>0</v>
      </c>
      <c r="L21" s="22">
        <f t="shared" si="0"/>
        <v>80000</v>
      </c>
    </row>
    <row r="22" spans="1:12" hidden="1" x14ac:dyDescent="0.25">
      <c r="A22" t="s">
        <v>1553</v>
      </c>
      <c r="B22" s="7" t="s">
        <v>1554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1">
        <v>0</v>
      </c>
      <c r="I22" s="21"/>
      <c r="J22" s="21">
        <v>0</v>
      </c>
      <c r="K22" s="21">
        <v>0</v>
      </c>
      <c r="L22" s="22">
        <f t="shared" si="0"/>
        <v>0</v>
      </c>
    </row>
    <row r="23" spans="1:12" x14ac:dyDescent="0.25">
      <c r="A23" t="s">
        <v>1553</v>
      </c>
      <c r="B23" s="7" t="s">
        <v>3790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1">
        <v>0</v>
      </c>
      <c r="I23" s="21"/>
      <c r="J23" s="21">
        <v>50000</v>
      </c>
      <c r="K23" s="21">
        <v>0</v>
      </c>
      <c r="L23" s="22">
        <f t="shared" si="0"/>
        <v>50000</v>
      </c>
    </row>
    <row r="24" spans="1:12" x14ac:dyDescent="0.25">
      <c r="A24" t="s">
        <v>1555</v>
      </c>
      <c r="B24" s="7" t="s">
        <v>1556</v>
      </c>
      <c r="C24" s="22">
        <v>0</v>
      </c>
      <c r="D24" s="22">
        <v>26662</v>
      </c>
      <c r="E24" s="22">
        <v>0</v>
      </c>
      <c r="F24" s="22">
        <v>0</v>
      </c>
      <c r="G24" s="22">
        <v>0</v>
      </c>
      <c r="H24" s="21">
        <v>0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1557</v>
      </c>
      <c r="B25" s="7" t="s">
        <v>422</v>
      </c>
      <c r="C25" s="22">
        <v>0</v>
      </c>
      <c r="D25" s="22">
        <v>4808</v>
      </c>
      <c r="E25" s="22">
        <v>5000</v>
      </c>
      <c r="F25" s="22">
        <v>5000</v>
      </c>
      <c r="G25" s="22">
        <v>3653.89</v>
      </c>
      <c r="H25" s="21">
        <v>3654</v>
      </c>
      <c r="I25" s="21"/>
      <c r="J25" s="21">
        <v>0</v>
      </c>
      <c r="K25" s="21">
        <v>0</v>
      </c>
      <c r="L25" s="22">
        <f t="shared" si="0"/>
        <v>0</v>
      </c>
    </row>
    <row r="26" spans="1:12" x14ac:dyDescent="0.25">
      <c r="A26" t="s">
        <v>1558</v>
      </c>
      <c r="B26" s="7" t="s">
        <v>690</v>
      </c>
      <c r="C26" s="22">
        <v>0</v>
      </c>
      <c r="D26" s="22">
        <v>1107</v>
      </c>
      <c r="E26" s="22">
        <v>692</v>
      </c>
      <c r="F26" s="22">
        <v>784</v>
      </c>
      <c r="G26" s="22">
        <v>761.25</v>
      </c>
      <c r="H26" s="21">
        <v>761</v>
      </c>
      <c r="I26" s="21"/>
      <c r="J26" s="21">
        <v>346</v>
      </c>
      <c r="K26" s="21">
        <v>0</v>
      </c>
      <c r="L26" s="22">
        <f t="shared" si="0"/>
        <v>346</v>
      </c>
    </row>
    <row r="27" spans="1:12" x14ac:dyDescent="0.25">
      <c r="A27" t="s">
        <v>1559</v>
      </c>
      <c r="B27" s="7" t="s">
        <v>426</v>
      </c>
      <c r="C27" s="22">
        <v>0</v>
      </c>
      <c r="D27" s="22">
        <v>1215</v>
      </c>
      <c r="E27" s="22">
        <v>810</v>
      </c>
      <c r="F27" s="22">
        <v>810</v>
      </c>
      <c r="G27" s="22">
        <v>830.44</v>
      </c>
      <c r="H27" s="21">
        <v>830</v>
      </c>
      <c r="I27" s="21"/>
      <c r="J27" s="21">
        <v>404.91</v>
      </c>
      <c r="K27" s="21">
        <v>0</v>
      </c>
      <c r="L27" s="22">
        <f t="shared" si="0"/>
        <v>404.91</v>
      </c>
    </row>
    <row r="28" spans="1:12" x14ac:dyDescent="0.25">
      <c r="A28" t="s">
        <v>1560</v>
      </c>
      <c r="B28" s="7" t="s">
        <v>428</v>
      </c>
      <c r="C28" s="22">
        <v>0</v>
      </c>
      <c r="D28" s="22">
        <v>1154</v>
      </c>
      <c r="E28" s="22">
        <v>1200</v>
      </c>
      <c r="F28" s="22">
        <v>1200</v>
      </c>
      <c r="G28" s="22">
        <v>969.36</v>
      </c>
      <c r="H28" s="21">
        <v>1100</v>
      </c>
      <c r="I28" s="21"/>
      <c r="J28" s="21">
        <v>600</v>
      </c>
      <c r="K28" s="21">
        <v>0</v>
      </c>
      <c r="L28" s="22">
        <f t="shared" si="0"/>
        <v>600</v>
      </c>
    </row>
    <row r="29" spans="1:12" x14ac:dyDescent="0.25">
      <c r="A29" t="s">
        <v>1561</v>
      </c>
      <c r="B29" s="7" t="s">
        <v>430</v>
      </c>
      <c r="C29" s="22">
        <v>0</v>
      </c>
      <c r="D29" s="22">
        <v>104</v>
      </c>
      <c r="E29" s="22">
        <v>69</v>
      </c>
      <c r="F29" s="22">
        <v>69</v>
      </c>
      <c r="G29" s="22">
        <v>69.2</v>
      </c>
      <c r="H29" s="21">
        <v>69</v>
      </c>
      <c r="I29" s="21"/>
      <c r="J29" s="21">
        <v>0</v>
      </c>
      <c r="K29" s="21">
        <v>0</v>
      </c>
      <c r="L29" s="22">
        <f t="shared" si="0"/>
        <v>0</v>
      </c>
    </row>
    <row r="30" spans="1:12" x14ac:dyDescent="0.25">
      <c r="A30" t="s">
        <v>1562</v>
      </c>
      <c r="B30" s="7" t="s">
        <v>432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1">
        <v>0</v>
      </c>
      <c r="I30" s="21"/>
      <c r="J30" s="21">
        <v>0</v>
      </c>
      <c r="K30" s="21">
        <v>0</v>
      </c>
      <c r="L30" s="22">
        <f t="shared" si="0"/>
        <v>0</v>
      </c>
    </row>
    <row r="31" spans="1:12" x14ac:dyDescent="0.25">
      <c r="A31" t="s">
        <v>1563</v>
      </c>
      <c r="B31" s="7" t="s">
        <v>434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1">
        <v>0</v>
      </c>
      <c r="I31" s="21"/>
      <c r="J31" s="21">
        <v>0</v>
      </c>
      <c r="K31" s="21">
        <v>0</v>
      </c>
      <c r="L31" s="22">
        <f t="shared" si="0"/>
        <v>0</v>
      </c>
    </row>
    <row r="32" spans="1:12" x14ac:dyDescent="0.25">
      <c r="A32" t="s">
        <v>1564</v>
      </c>
      <c r="B32" s="7" t="s">
        <v>436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1">
        <v>0</v>
      </c>
      <c r="I32" s="21"/>
      <c r="J32" s="21">
        <v>0</v>
      </c>
      <c r="K32" s="21">
        <v>0</v>
      </c>
      <c r="L32" s="22">
        <f t="shared" si="0"/>
        <v>0</v>
      </c>
    </row>
    <row r="33" spans="1:12" x14ac:dyDescent="0.25">
      <c r="A33" t="s">
        <v>1565</v>
      </c>
      <c r="B33" s="7" t="s">
        <v>607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1">
        <v>0</v>
      </c>
      <c r="I33" s="21"/>
      <c r="J33" s="21">
        <v>0</v>
      </c>
      <c r="K33" s="21">
        <v>0</v>
      </c>
      <c r="L33" s="22">
        <f t="shared" si="0"/>
        <v>0</v>
      </c>
    </row>
    <row r="34" spans="1:12" x14ac:dyDescent="0.25">
      <c r="C34" s="22"/>
      <c r="D34" s="22"/>
      <c r="E34" s="22"/>
      <c r="F34" s="22"/>
      <c r="G34" s="22"/>
      <c r="H34" s="21"/>
      <c r="I34" s="21"/>
      <c r="J34" s="21"/>
      <c r="K34" s="21"/>
      <c r="L34" s="22"/>
    </row>
    <row r="35" spans="1:12" x14ac:dyDescent="0.25">
      <c r="C35" s="22"/>
      <c r="D35" s="22"/>
      <c r="E35" s="22"/>
      <c r="F35" s="22"/>
      <c r="G35" s="22"/>
      <c r="H35" s="21"/>
      <c r="I35" s="21"/>
      <c r="J35" s="21"/>
      <c r="K35" s="21"/>
      <c r="L35" s="22"/>
    </row>
    <row r="36" spans="1:12" x14ac:dyDescent="0.25">
      <c r="A36" t="s">
        <v>109</v>
      </c>
      <c r="C36" s="22"/>
      <c r="D36" s="22"/>
      <c r="E36" s="22"/>
      <c r="F36" s="22"/>
      <c r="G36" s="22"/>
      <c r="H36" s="21"/>
      <c r="I36" s="21"/>
      <c r="J36" s="21"/>
      <c r="K36" s="21"/>
      <c r="L36" s="22"/>
    </row>
    <row r="37" spans="1:12" x14ac:dyDescent="0.25">
      <c r="B37" t="s">
        <v>441</v>
      </c>
      <c r="C37" s="20">
        <f t="shared" ref="C37:H37" si="1">SUM(C13:C33)</f>
        <v>0</v>
      </c>
      <c r="D37" s="20">
        <f t="shared" si="1"/>
        <v>254519</v>
      </c>
      <c r="E37" s="20">
        <f t="shared" si="1"/>
        <v>225543</v>
      </c>
      <c r="F37" s="20">
        <f t="shared" si="1"/>
        <v>236055</v>
      </c>
      <c r="G37" s="20">
        <f t="shared" si="1"/>
        <v>220031.16000000003</v>
      </c>
      <c r="H37" s="20">
        <f t="shared" si="1"/>
        <v>233027.41999999998</v>
      </c>
      <c r="I37" s="20"/>
      <c r="J37" s="20">
        <f>SUM(J13:J33)</f>
        <v>170902.81299999999</v>
      </c>
      <c r="K37" s="20">
        <f>SUM(K13:K33)</f>
        <v>0</v>
      </c>
      <c r="L37" s="20">
        <f>SUM(L13:L33)</f>
        <v>170902.81299999999</v>
      </c>
    </row>
    <row r="38" spans="1:12" x14ac:dyDescent="0.25">
      <c r="C38" s="22"/>
      <c r="D38" s="22"/>
      <c r="E38" s="22"/>
      <c r="F38" s="22"/>
      <c r="G38" s="22"/>
      <c r="H38" s="21"/>
      <c r="I38" s="21"/>
      <c r="J38" s="21"/>
      <c r="K38" s="21"/>
      <c r="L38" s="22"/>
    </row>
    <row r="39" spans="1:12" x14ac:dyDescent="0.25">
      <c r="A39" t="s">
        <v>478</v>
      </c>
      <c r="C39" s="22"/>
      <c r="D39" s="22"/>
      <c r="E39" s="22"/>
      <c r="F39" s="22"/>
      <c r="G39" s="22"/>
      <c r="H39" s="21"/>
      <c r="I39" s="21"/>
      <c r="J39" s="21"/>
      <c r="K39" s="21"/>
      <c r="L39" s="22"/>
    </row>
    <row r="40" spans="1:12" x14ac:dyDescent="0.25">
      <c r="A40" t="s">
        <v>18</v>
      </c>
      <c r="B40" s="7" t="s">
        <v>21</v>
      </c>
      <c r="C40" s="22"/>
      <c r="D40" s="22"/>
      <c r="E40" s="22"/>
      <c r="F40" s="22"/>
      <c r="G40" s="22"/>
      <c r="H40" s="21"/>
      <c r="I40" s="21"/>
      <c r="J40" s="21"/>
      <c r="K40" s="21"/>
      <c r="L40" s="22"/>
    </row>
    <row r="41" spans="1:12" x14ac:dyDescent="0.25">
      <c r="A41" t="s">
        <v>1566</v>
      </c>
      <c r="B41" s="7" t="s">
        <v>445</v>
      </c>
      <c r="C41" s="22">
        <v>0</v>
      </c>
      <c r="D41" s="22">
        <v>0</v>
      </c>
      <c r="E41" s="22">
        <v>86</v>
      </c>
      <c r="F41" s="22">
        <v>94</v>
      </c>
      <c r="G41" s="22">
        <v>1344.14</v>
      </c>
      <c r="H41" s="21">
        <v>1344.14</v>
      </c>
      <c r="I41" s="21"/>
      <c r="J41" s="21">
        <f>G41*10%+G41</f>
        <v>1478.5540000000001</v>
      </c>
      <c r="K41" s="21">
        <v>0</v>
      </c>
      <c r="L41" s="22">
        <f>SUM(J41+K41)</f>
        <v>1478.5540000000001</v>
      </c>
    </row>
    <row r="42" spans="1:12" x14ac:dyDescent="0.25">
      <c r="A42" t="s">
        <v>1567</v>
      </c>
      <c r="B42" s="7" t="s">
        <v>449</v>
      </c>
      <c r="C42" s="22">
        <v>0</v>
      </c>
      <c r="D42" s="22">
        <v>0</v>
      </c>
      <c r="E42" s="22">
        <v>0</v>
      </c>
      <c r="F42" s="22">
        <v>1500</v>
      </c>
      <c r="G42" s="22">
        <v>0</v>
      </c>
      <c r="H42" s="21">
        <v>250</v>
      </c>
      <c r="I42" s="21"/>
      <c r="J42" s="21">
        <v>750</v>
      </c>
      <c r="K42" s="21">
        <v>0</v>
      </c>
      <c r="L42" s="22">
        <f t="shared" ref="L42:L50" si="2">SUM(J42+K42)</f>
        <v>750</v>
      </c>
    </row>
    <row r="43" spans="1:12" x14ac:dyDescent="0.25">
      <c r="A43" t="s">
        <v>1568</v>
      </c>
      <c r="B43" s="7" t="s">
        <v>451</v>
      </c>
      <c r="C43" s="22">
        <v>0</v>
      </c>
      <c r="D43" s="22">
        <v>2380</v>
      </c>
      <c r="E43" s="22">
        <v>0</v>
      </c>
      <c r="F43" s="22">
        <v>5000</v>
      </c>
      <c r="G43" s="22">
        <v>6.5</v>
      </c>
      <c r="H43" s="21">
        <v>500</v>
      </c>
      <c r="I43" s="21"/>
      <c r="J43" s="21">
        <v>2500</v>
      </c>
      <c r="K43" s="21">
        <v>0</v>
      </c>
      <c r="L43" s="22">
        <f t="shared" si="2"/>
        <v>2500</v>
      </c>
    </row>
    <row r="44" spans="1:12" x14ac:dyDescent="0.25">
      <c r="A44" t="s">
        <v>1569</v>
      </c>
      <c r="B44" s="7" t="s">
        <v>457</v>
      </c>
      <c r="C44" s="22">
        <v>0</v>
      </c>
      <c r="D44" s="22">
        <v>134</v>
      </c>
      <c r="E44" s="22">
        <v>0</v>
      </c>
      <c r="F44" s="22">
        <v>0</v>
      </c>
      <c r="G44" s="22">
        <v>0</v>
      </c>
      <c r="H44" s="21">
        <v>0</v>
      </c>
      <c r="I44" s="21"/>
      <c r="J44" s="21">
        <v>0</v>
      </c>
      <c r="K44" s="21">
        <v>0</v>
      </c>
      <c r="L44" s="22">
        <f t="shared" si="2"/>
        <v>0</v>
      </c>
    </row>
    <row r="45" spans="1:12" x14ac:dyDescent="0.25">
      <c r="A45" t="s">
        <v>1570</v>
      </c>
      <c r="B45" s="7" t="s">
        <v>465</v>
      </c>
      <c r="C45" s="22">
        <v>0</v>
      </c>
      <c r="D45" s="22">
        <v>9454</v>
      </c>
      <c r="E45" s="22">
        <v>9255</v>
      </c>
      <c r="F45" s="22">
        <v>16006</v>
      </c>
      <c r="G45" s="22">
        <v>11587.17</v>
      </c>
      <c r="H45" s="21">
        <v>14000</v>
      </c>
      <c r="I45" s="21"/>
      <c r="J45" s="21">
        <v>16000</v>
      </c>
      <c r="K45" s="21">
        <v>0</v>
      </c>
      <c r="L45" s="22">
        <f t="shared" si="2"/>
        <v>16000</v>
      </c>
    </row>
    <row r="46" spans="1:12" x14ac:dyDescent="0.25">
      <c r="A46" t="s">
        <v>1571</v>
      </c>
      <c r="B46" s="7" t="s">
        <v>471</v>
      </c>
      <c r="C46" s="22">
        <v>0</v>
      </c>
      <c r="D46" s="22">
        <v>25168</v>
      </c>
      <c r="E46" s="22">
        <v>29219</v>
      </c>
      <c r="F46" s="22">
        <v>49502</v>
      </c>
      <c r="G46" s="22">
        <v>27251.03</v>
      </c>
      <c r="H46" s="21">
        <v>32000</v>
      </c>
      <c r="I46" s="21"/>
      <c r="J46" s="21">
        <v>35000</v>
      </c>
      <c r="K46" s="21">
        <v>0</v>
      </c>
      <c r="L46" s="22">
        <f t="shared" si="2"/>
        <v>35000</v>
      </c>
    </row>
    <row r="47" spans="1:12" x14ac:dyDescent="0.25">
      <c r="A47" t="s">
        <v>1572</v>
      </c>
      <c r="B47" s="7" t="s">
        <v>473</v>
      </c>
      <c r="C47" s="22">
        <v>0</v>
      </c>
      <c r="D47" s="22">
        <v>39637</v>
      </c>
      <c r="E47" s="22">
        <v>29024</v>
      </c>
      <c r="F47" s="22">
        <v>55681</v>
      </c>
      <c r="G47" s="22">
        <v>41269</v>
      </c>
      <c r="H47" s="21">
        <v>45000</v>
      </c>
      <c r="I47" s="21"/>
      <c r="J47" s="21">
        <v>45000</v>
      </c>
      <c r="K47" s="21">
        <v>0</v>
      </c>
      <c r="L47" s="22">
        <f t="shared" si="2"/>
        <v>45000</v>
      </c>
    </row>
    <row r="48" spans="1:12" x14ac:dyDescent="0.25">
      <c r="A48" t="s">
        <v>1573</v>
      </c>
      <c r="B48" s="7" t="s">
        <v>1241</v>
      </c>
      <c r="C48" s="22">
        <v>0</v>
      </c>
      <c r="D48" s="22">
        <v>38</v>
      </c>
      <c r="E48" s="22">
        <v>0</v>
      </c>
      <c r="F48" s="22">
        <v>0</v>
      </c>
      <c r="G48" s="22">
        <v>0</v>
      </c>
      <c r="H48" s="21">
        <v>0</v>
      </c>
      <c r="I48" s="21"/>
      <c r="J48" s="21">
        <v>0</v>
      </c>
      <c r="K48" s="21">
        <v>0</v>
      </c>
      <c r="L48" s="22">
        <f t="shared" si="2"/>
        <v>0</v>
      </c>
    </row>
    <row r="49" spans="1:12" x14ac:dyDescent="0.25">
      <c r="A49" t="s">
        <v>1574</v>
      </c>
      <c r="B49" s="7" t="s">
        <v>475</v>
      </c>
      <c r="C49" s="22">
        <v>0</v>
      </c>
      <c r="D49" s="22">
        <v>0</v>
      </c>
      <c r="E49" s="22">
        <v>587</v>
      </c>
      <c r="F49" s="22">
        <v>500</v>
      </c>
      <c r="G49" s="22">
        <v>0.79</v>
      </c>
      <c r="H49" s="21">
        <v>1</v>
      </c>
      <c r="I49" s="21"/>
      <c r="J49" s="21">
        <v>0</v>
      </c>
      <c r="K49" s="21">
        <v>0</v>
      </c>
      <c r="L49" s="22">
        <f t="shared" si="2"/>
        <v>0</v>
      </c>
    </row>
    <row r="50" spans="1:12" x14ac:dyDescent="0.25">
      <c r="A50" t="s">
        <v>1575</v>
      </c>
      <c r="B50" s="7" t="s">
        <v>762</v>
      </c>
      <c r="C50" s="22">
        <v>0</v>
      </c>
      <c r="D50" s="22">
        <v>70728</v>
      </c>
      <c r="E50" s="22">
        <v>74294</v>
      </c>
      <c r="F50" s="22">
        <v>245400</v>
      </c>
      <c r="G50" s="22">
        <v>98941.53</v>
      </c>
      <c r="H50" s="21">
        <v>125000</v>
      </c>
      <c r="I50" s="21"/>
      <c r="J50" s="21">
        <v>125000</v>
      </c>
      <c r="K50" s="21">
        <v>0</v>
      </c>
      <c r="L50" s="22">
        <f t="shared" si="2"/>
        <v>125000</v>
      </c>
    </row>
    <row r="51" spans="1:12" x14ac:dyDescent="0.25">
      <c r="C51" s="22"/>
      <c r="D51" s="22"/>
      <c r="E51" s="22"/>
      <c r="F51" s="22"/>
      <c r="G51" s="22"/>
      <c r="H51" s="21"/>
      <c r="I51" s="21"/>
      <c r="J51" s="21"/>
      <c r="K51" s="21"/>
      <c r="L51" s="22"/>
    </row>
    <row r="52" spans="1:12" x14ac:dyDescent="0.25">
      <c r="C52" s="22"/>
      <c r="D52" s="22"/>
      <c r="E52" s="22"/>
      <c r="F52" s="22"/>
      <c r="G52" s="22"/>
      <c r="H52" s="21"/>
      <c r="I52" s="21"/>
      <c r="J52" s="21"/>
      <c r="K52" s="21"/>
      <c r="L52" s="22"/>
    </row>
    <row r="53" spans="1:12" x14ac:dyDescent="0.25">
      <c r="A53" t="s">
        <v>109</v>
      </c>
      <c r="C53" s="22"/>
      <c r="D53" s="22"/>
      <c r="E53" s="22"/>
      <c r="F53" s="22"/>
      <c r="G53" s="22"/>
      <c r="H53" s="21"/>
      <c r="I53" s="21"/>
      <c r="J53" s="21"/>
      <c r="K53" s="21"/>
      <c r="L53" s="22"/>
    </row>
    <row r="54" spans="1:12" x14ac:dyDescent="0.25">
      <c r="B54" t="s">
        <v>478</v>
      </c>
      <c r="C54" s="20">
        <f t="shared" ref="C54:H54" si="3">SUM(C41:C50)</f>
        <v>0</v>
      </c>
      <c r="D54" s="20">
        <f t="shared" si="3"/>
        <v>147539</v>
      </c>
      <c r="E54" s="20">
        <f t="shared" si="3"/>
        <v>142465</v>
      </c>
      <c r="F54" s="20">
        <f t="shared" si="3"/>
        <v>373683</v>
      </c>
      <c r="G54" s="20">
        <f t="shared" si="3"/>
        <v>180400.15999999997</v>
      </c>
      <c r="H54" s="20">
        <f t="shared" si="3"/>
        <v>218095.14</v>
      </c>
      <c r="I54" s="20"/>
      <c r="J54" s="20">
        <f>SUM(J41:J50)</f>
        <v>225728.554</v>
      </c>
      <c r="K54" s="20">
        <f>SUM(K41:K50)</f>
        <v>0</v>
      </c>
      <c r="L54" s="20">
        <f>SUM(L41:L50)</f>
        <v>225728.554</v>
      </c>
    </row>
    <row r="55" spans="1:12" x14ac:dyDescent="0.25">
      <c r="C55" s="22"/>
      <c r="D55" s="22"/>
      <c r="E55" s="22"/>
      <c r="F55" s="22"/>
      <c r="G55" s="22"/>
      <c r="H55" s="21"/>
      <c r="I55" s="21"/>
      <c r="J55" s="21"/>
      <c r="K55" s="21"/>
      <c r="L55" s="22"/>
    </row>
    <row r="56" spans="1:12" x14ac:dyDescent="0.25">
      <c r="A56" t="s">
        <v>489</v>
      </c>
      <c r="C56" s="22"/>
      <c r="D56" s="22"/>
      <c r="E56" s="22"/>
      <c r="F56" s="22"/>
      <c r="G56" s="22"/>
      <c r="H56" s="21"/>
      <c r="I56" s="21"/>
      <c r="J56" s="21"/>
      <c r="K56" s="21"/>
      <c r="L56" s="22"/>
    </row>
    <row r="57" spans="1:12" x14ac:dyDescent="0.25">
      <c r="A57" t="s">
        <v>18</v>
      </c>
      <c r="C57" s="22"/>
      <c r="D57" s="22"/>
      <c r="E57" s="22"/>
      <c r="F57" s="22"/>
      <c r="G57" s="22"/>
      <c r="H57" s="21"/>
      <c r="I57" s="21"/>
      <c r="J57" s="21"/>
      <c r="K57" s="21"/>
      <c r="L57" s="22"/>
    </row>
    <row r="58" spans="1:12" x14ac:dyDescent="0.25">
      <c r="A58" t="s">
        <v>1576</v>
      </c>
      <c r="B58" s="7" t="s">
        <v>491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1">
        <v>0</v>
      </c>
      <c r="I58" s="21"/>
      <c r="J58" s="21">
        <v>0</v>
      </c>
      <c r="K58" s="21">
        <v>0</v>
      </c>
      <c r="L58" s="22">
        <f>SUM(J58+K58)</f>
        <v>0</v>
      </c>
    </row>
    <row r="59" spans="1:12" x14ac:dyDescent="0.25">
      <c r="A59" t="s">
        <v>1577</v>
      </c>
      <c r="B59" s="7" t="s">
        <v>493</v>
      </c>
      <c r="C59" s="22">
        <v>0</v>
      </c>
      <c r="D59" s="22">
        <v>0</v>
      </c>
      <c r="E59" s="22">
        <v>13</v>
      </c>
      <c r="F59" s="22">
        <v>0</v>
      </c>
      <c r="G59" s="22">
        <v>0</v>
      </c>
      <c r="H59" s="21">
        <v>0</v>
      </c>
      <c r="I59" s="21"/>
      <c r="J59" s="21">
        <v>0</v>
      </c>
      <c r="K59" s="21">
        <v>0</v>
      </c>
      <c r="L59" s="22">
        <f t="shared" ref="L59:L62" si="4">SUM(J59+K59)</f>
        <v>0</v>
      </c>
    </row>
    <row r="60" spans="1:12" x14ac:dyDescent="0.25">
      <c r="A60" t="s">
        <v>1578</v>
      </c>
      <c r="B60" s="7" t="s">
        <v>489</v>
      </c>
      <c r="C60" s="22">
        <v>0</v>
      </c>
      <c r="D60" s="22">
        <v>883</v>
      </c>
      <c r="E60" s="22">
        <v>33</v>
      </c>
      <c r="F60" s="22">
        <v>1200</v>
      </c>
      <c r="G60" s="22">
        <v>0</v>
      </c>
      <c r="H60" s="21">
        <v>250</v>
      </c>
      <c r="I60" s="21"/>
      <c r="J60" s="21">
        <v>500</v>
      </c>
      <c r="K60" s="21">
        <v>0</v>
      </c>
      <c r="L60" s="22">
        <f t="shared" si="4"/>
        <v>500</v>
      </c>
    </row>
    <row r="61" spans="1:12" hidden="1" x14ac:dyDescent="0.25">
      <c r="A61" t="s">
        <v>1579</v>
      </c>
      <c r="B61" s="7" t="s">
        <v>498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1">
        <v>0</v>
      </c>
      <c r="I61" s="21"/>
      <c r="J61" s="21">
        <v>0</v>
      </c>
      <c r="K61" s="21">
        <v>0</v>
      </c>
      <c r="L61" s="22">
        <f t="shared" si="4"/>
        <v>0</v>
      </c>
    </row>
    <row r="62" spans="1:12" hidden="1" x14ac:dyDescent="0.25">
      <c r="A62" t="s">
        <v>1580</v>
      </c>
      <c r="B62" s="7" t="s">
        <v>500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1">
        <v>0</v>
      </c>
      <c r="I62" s="21"/>
      <c r="J62" s="21">
        <v>0</v>
      </c>
      <c r="K62" s="21">
        <v>0</v>
      </c>
      <c r="L62" s="22">
        <f t="shared" si="4"/>
        <v>0</v>
      </c>
    </row>
    <row r="63" spans="1:12" x14ac:dyDescent="0.25">
      <c r="C63" s="22"/>
      <c r="D63" s="22"/>
      <c r="E63" s="22"/>
      <c r="F63" s="22"/>
      <c r="G63" s="22"/>
      <c r="H63" s="21"/>
      <c r="I63" s="21"/>
      <c r="J63" s="21"/>
      <c r="K63" s="21"/>
      <c r="L63" s="22"/>
    </row>
    <row r="64" spans="1:12" x14ac:dyDescent="0.25">
      <c r="C64" s="22"/>
      <c r="D64" s="22"/>
      <c r="E64" s="22"/>
      <c r="F64" s="22"/>
      <c r="G64" s="22"/>
      <c r="H64" s="21"/>
      <c r="I64" s="21"/>
      <c r="J64" s="21"/>
      <c r="K64" s="21"/>
      <c r="L64" s="22"/>
    </row>
    <row r="65" spans="1:12" x14ac:dyDescent="0.25">
      <c r="A65" t="s">
        <v>109</v>
      </c>
      <c r="C65" s="22"/>
      <c r="D65" s="22"/>
      <c r="E65" s="22"/>
      <c r="F65" s="22"/>
      <c r="G65" s="22"/>
      <c r="H65" s="21"/>
      <c r="I65" s="21"/>
      <c r="J65" s="21"/>
      <c r="K65" s="21"/>
      <c r="L65" s="22"/>
    </row>
    <row r="66" spans="1:12" x14ac:dyDescent="0.25">
      <c r="B66" t="s">
        <v>489</v>
      </c>
      <c r="C66" s="20">
        <f t="shared" ref="C66:H66" si="5">SUM(C58:C62)</f>
        <v>0</v>
      </c>
      <c r="D66" s="20">
        <f t="shared" si="5"/>
        <v>883</v>
      </c>
      <c r="E66" s="20">
        <f t="shared" si="5"/>
        <v>46</v>
      </c>
      <c r="F66" s="20">
        <f t="shared" si="5"/>
        <v>1200</v>
      </c>
      <c r="G66" s="20">
        <f t="shared" si="5"/>
        <v>0</v>
      </c>
      <c r="H66" s="20">
        <f t="shared" si="5"/>
        <v>250</v>
      </c>
      <c r="I66" s="20"/>
      <c r="J66" s="20">
        <f>SUM(J58:J62)</f>
        <v>500</v>
      </c>
      <c r="K66" s="20">
        <f>SUM(K58:K62)</f>
        <v>0</v>
      </c>
      <c r="L66" s="20">
        <f>SUM(L58:L62)</f>
        <v>500</v>
      </c>
    </row>
    <row r="67" spans="1:12" x14ac:dyDescent="0.25">
      <c r="A67" t="s">
        <v>110</v>
      </c>
      <c r="C67" s="22"/>
      <c r="D67" s="22"/>
      <c r="E67" s="22"/>
      <c r="F67" s="22"/>
      <c r="G67" s="22"/>
      <c r="H67" s="21"/>
      <c r="I67" s="21"/>
      <c r="J67" s="21"/>
      <c r="K67" s="21"/>
      <c r="L67" s="22"/>
    </row>
    <row r="68" spans="1:12" x14ac:dyDescent="0.25">
      <c r="A68" t="s">
        <v>501</v>
      </c>
      <c r="C68" s="22"/>
      <c r="D68" s="22"/>
      <c r="E68" s="22"/>
      <c r="F68" s="22"/>
      <c r="G68" s="22"/>
      <c r="H68" s="21"/>
      <c r="I68" s="21"/>
      <c r="J68" s="21"/>
      <c r="K68" s="21"/>
      <c r="L68" s="22"/>
    </row>
    <row r="69" spans="1:12" x14ac:dyDescent="0.25">
      <c r="A69" t="s">
        <v>18</v>
      </c>
      <c r="C69" s="22"/>
      <c r="D69" s="22"/>
      <c r="E69" s="22"/>
      <c r="F69" s="22"/>
      <c r="G69" s="22"/>
      <c r="H69" s="21"/>
      <c r="I69" s="21"/>
      <c r="J69" s="21"/>
      <c r="K69" s="21"/>
      <c r="L69" s="22"/>
    </row>
    <row r="70" spans="1:12" x14ac:dyDescent="0.25">
      <c r="A70" t="s">
        <v>1582</v>
      </c>
      <c r="B70" s="7" t="s">
        <v>503</v>
      </c>
      <c r="C70" s="22">
        <v>0</v>
      </c>
      <c r="D70" s="22">
        <v>66499</v>
      </c>
      <c r="E70" s="22">
        <v>51967</v>
      </c>
      <c r="F70" s="22">
        <v>25000</v>
      </c>
      <c r="G70" s="22">
        <v>19283.849999999999</v>
      </c>
      <c r="H70" s="21">
        <v>20000</v>
      </c>
      <c r="I70" s="21"/>
      <c r="J70" s="21">
        <v>20000</v>
      </c>
      <c r="K70" s="21">
        <v>0</v>
      </c>
      <c r="L70" s="22">
        <f>SUM(J70+K70)</f>
        <v>20000</v>
      </c>
    </row>
    <row r="71" spans="1:12" x14ac:dyDescent="0.25">
      <c r="A71" t="s">
        <v>1583</v>
      </c>
      <c r="B71" s="7" t="s">
        <v>519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1">
        <v>0</v>
      </c>
      <c r="I71" s="21"/>
      <c r="J71" s="21">
        <v>0</v>
      </c>
      <c r="K71" s="21">
        <v>0</v>
      </c>
      <c r="L71" s="22">
        <f t="shared" ref="L71:L72" si="6">SUM(J71+K71)</f>
        <v>0</v>
      </c>
    </row>
    <row r="72" spans="1:12" x14ac:dyDescent="0.25">
      <c r="A72" t="s">
        <v>1584</v>
      </c>
      <c r="B72" s="7" t="s">
        <v>521</v>
      </c>
      <c r="C72" s="22">
        <v>0</v>
      </c>
      <c r="D72" s="22">
        <v>54944</v>
      </c>
      <c r="E72" s="22">
        <v>81897</v>
      </c>
      <c r="F72" s="22">
        <v>130380</v>
      </c>
      <c r="G72" s="22">
        <v>148521.51999999999</v>
      </c>
      <c r="H72" s="21">
        <v>150000</v>
      </c>
      <c r="I72" s="21"/>
      <c r="J72" s="21">
        <v>150000</v>
      </c>
      <c r="K72" s="21">
        <v>0</v>
      </c>
      <c r="L72" s="22">
        <f t="shared" si="6"/>
        <v>150000</v>
      </c>
    </row>
    <row r="73" spans="1:12" x14ac:dyDescent="0.25">
      <c r="C73" s="22"/>
      <c r="D73" s="22"/>
      <c r="E73" s="22"/>
      <c r="F73" s="22"/>
      <c r="G73" s="22"/>
      <c r="H73" s="21"/>
      <c r="I73" s="21"/>
      <c r="J73" s="21"/>
      <c r="K73" s="21"/>
      <c r="L73" s="22"/>
    </row>
    <row r="74" spans="1:12" x14ac:dyDescent="0.25">
      <c r="C74" s="22"/>
      <c r="D74" s="22"/>
      <c r="E74" s="22"/>
      <c r="F74" s="22"/>
      <c r="G74" s="22"/>
      <c r="H74" s="21"/>
      <c r="I74" s="21"/>
      <c r="J74" s="21"/>
      <c r="K74" s="21"/>
      <c r="L74" s="22"/>
    </row>
    <row r="75" spans="1:12" x14ac:dyDescent="0.25">
      <c r="A75" t="s">
        <v>109</v>
      </c>
      <c r="C75" s="22"/>
      <c r="D75" s="22"/>
      <c r="E75" s="22"/>
      <c r="F75" s="22"/>
      <c r="G75" s="22"/>
      <c r="H75" s="21"/>
      <c r="I75" s="21"/>
      <c r="J75" s="21"/>
      <c r="K75" s="21"/>
      <c r="L75" s="22"/>
    </row>
    <row r="76" spans="1:12" x14ac:dyDescent="0.25">
      <c r="B76" t="s">
        <v>501</v>
      </c>
      <c r="C76" s="20">
        <f t="shared" ref="C76:H76" si="7">SUM(C70:C72)</f>
        <v>0</v>
      </c>
      <c r="D76" s="20">
        <f t="shared" si="7"/>
        <v>121443</v>
      </c>
      <c r="E76" s="20">
        <f t="shared" si="7"/>
        <v>133864</v>
      </c>
      <c r="F76" s="20">
        <f t="shared" si="7"/>
        <v>155380</v>
      </c>
      <c r="G76" s="20">
        <f t="shared" si="7"/>
        <v>167805.37</v>
      </c>
      <c r="H76" s="20">
        <f t="shared" si="7"/>
        <v>170000</v>
      </c>
      <c r="I76" s="20"/>
      <c r="J76" s="20">
        <f>SUM(J70:J72)</f>
        <v>170000</v>
      </c>
      <c r="K76" s="20">
        <f>SUM(K70:K72)</f>
        <v>0</v>
      </c>
      <c r="L76" s="20">
        <f>SUM(L70:L72)</f>
        <v>170000</v>
      </c>
    </row>
    <row r="77" spans="1:12" x14ac:dyDescent="0.25">
      <c r="C77" s="22"/>
      <c r="D77" s="22"/>
      <c r="E77" s="22"/>
      <c r="F77" s="22"/>
      <c r="G77" s="22"/>
      <c r="H77" s="21"/>
      <c r="I77" s="21"/>
      <c r="J77" s="21"/>
      <c r="K77" s="21"/>
      <c r="L77" s="22"/>
    </row>
    <row r="78" spans="1:12" x14ac:dyDescent="0.25">
      <c r="A78" t="s">
        <v>530</v>
      </c>
      <c r="C78" s="22"/>
      <c r="D78" s="22"/>
      <c r="E78" s="22"/>
      <c r="F78" s="22"/>
      <c r="G78" s="22"/>
      <c r="H78" s="21"/>
      <c r="I78" s="21"/>
      <c r="J78" s="21"/>
      <c r="K78" s="21"/>
      <c r="L78" s="22"/>
    </row>
    <row r="79" spans="1:12" x14ac:dyDescent="0.25">
      <c r="A79" t="s">
        <v>18</v>
      </c>
      <c r="B79" s="7" t="s">
        <v>526</v>
      </c>
      <c r="C79" s="22"/>
      <c r="D79" s="22"/>
      <c r="E79" s="22"/>
      <c r="F79" s="22"/>
      <c r="G79" s="22"/>
      <c r="H79" s="21"/>
      <c r="I79" s="21"/>
      <c r="J79" s="21"/>
      <c r="K79" s="21"/>
      <c r="L79" s="22"/>
    </row>
    <row r="80" spans="1:12" x14ac:dyDescent="0.25">
      <c r="A80" t="s">
        <v>1585</v>
      </c>
      <c r="B80" s="7" t="s">
        <v>1282</v>
      </c>
      <c r="C80" s="22">
        <v>0</v>
      </c>
      <c r="D80" s="22">
        <v>18078</v>
      </c>
      <c r="E80" s="22">
        <v>0</v>
      </c>
      <c r="F80" s="22">
        <v>0</v>
      </c>
      <c r="G80" s="22">
        <v>0</v>
      </c>
      <c r="H80" s="21">
        <v>0</v>
      </c>
      <c r="I80" s="21"/>
      <c r="J80" s="21">
        <v>0</v>
      </c>
      <c r="K80" s="21">
        <v>0</v>
      </c>
      <c r="L80" s="22">
        <f>SUM(J80+K80)</f>
        <v>0</v>
      </c>
    </row>
    <row r="81" spans="1:12" x14ac:dyDescent="0.25">
      <c r="A81" t="s">
        <v>1586</v>
      </c>
      <c r="B81" s="7" t="s">
        <v>534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1">
        <v>0</v>
      </c>
      <c r="I81" s="21"/>
      <c r="J81" s="21">
        <v>0</v>
      </c>
      <c r="K81" s="21">
        <v>0</v>
      </c>
      <c r="L81" s="22">
        <f t="shared" ref="L81:L82" si="8">SUM(J81+K81)</f>
        <v>0</v>
      </c>
    </row>
    <row r="82" spans="1:12" x14ac:dyDescent="0.25">
      <c r="A82" t="s">
        <v>1587</v>
      </c>
      <c r="B82" s="7" t="s">
        <v>728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1">
        <v>0</v>
      </c>
      <c r="I82" s="21"/>
      <c r="J82" s="21">
        <v>0</v>
      </c>
      <c r="K82" s="21">
        <v>0</v>
      </c>
      <c r="L82" s="22">
        <f t="shared" si="8"/>
        <v>0</v>
      </c>
    </row>
    <row r="83" spans="1:12" x14ac:dyDescent="0.25">
      <c r="C83" s="22"/>
      <c r="D83" s="22"/>
      <c r="E83" s="22"/>
      <c r="F83" s="22"/>
      <c r="G83" s="22"/>
      <c r="H83" s="21"/>
      <c r="I83" s="21"/>
      <c r="J83" s="21"/>
      <c r="K83" s="21"/>
      <c r="L83" s="22"/>
    </row>
    <row r="84" spans="1:12" x14ac:dyDescent="0.25">
      <c r="C84" s="22"/>
      <c r="D84" s="22"/>
      <c r="E84" s="22"/>
      <c r="F84" s="22"/>
      <c r="G84" s="22"/>
      <c r="H84" s="21"/>
      <c r="I84" s="21"/>
      <c r="J84" s="21"/>
      <c r="K84" s="21"/>
      <c r="L84" s="22"/>
    </row>
    <row r="85" spans="1:12" x14ac:dyDescent="0.25">
      <c r="A85" t="s">
        <v>109</v>
      </c>
      <c r="C85" s="22"/>
      <c r="D85" s="22"/>
      <c r="E85" s="22"/>
      <c r="F85" s="22"/>
      <c r="G85" s="22"/>
      <c r="H85" s="21"/>
      <c r="I85" s="21"/>
      <c r="J85" s="21"/>
      <c r="K85" s="21"/>
      <c r="L85" s="22"/>
    </row>
    <row r="86" spans="1:12" x14ac:dyDescent="0.25">
      <c r="B86" t="s">
        <v>530</v>
      </c>
      <c r="C86" s="20">
        <f t="shared" ref="C86:H86" si="9">SUM(C80:C82)</f>
        <v>0</v>
      </c>
      <c r="D86" s="20">
        <f t="shared" si="9"/>
        <v>18078</v>
      </c>
      <c r="E86" s="20">
        <f t="shared" si="9"/>
        <v>0</v>
      </c>
      <c r="F86" s="20">
        <f t="shared" si="9"/>
        <v>0</v>
      </c>
      <c r="G86" s="20">
        <f t="shared" si="9"/>
        <v>0</v>
      </c>
      <c r="H86" s="20">
        <f t="shared" si="9"/>
        <v>0</v>
      </c>
      <c r="I86" s="20"/>
      <c r="J86" s="20">
        <f>SUM(J80:J82)</f>
        <v>0</v>
      </c>
      <c r="K86" s="20">
        <f>SUM(K80:K82)</f>
        <v>0</v>
      </c>
      <c r="L86" s="20">
        <f>SUM(L80:L82)</f>
        <v>0</v>
      </c>
    </row>
    <row r="87" spans="1:12" x14ac:dyDescent="0.25">
      <c r="C87" s="22"/>
      <c r="D87" s="22"/>
      <c r="E87" s="22"/>
      <c r="F87" s="22"/>
      <c r="G87" s="22"/>
      <c r="H87" s="21"/>
      <c r="I87" s="21"/>
      <c r="J87" s="21"/>
      <c r="K87" s="21"/>
      <c r="L87" s="22"/>
    </row>
    <row r="88" spans="1:12" x14ac:dyDescent="0.25">
      <c r="C88" s="22"/>
      <c r="D88" s="22"/>
      <c r="E88" s="22"/>
      <c r="F88" s="22"/>
      <c r="G88" s="22"/>
      <c r="H88" s="21"/>
      <c r="I88" s="21"/>
      <c r="J88" s="21"/>
      <c r="K88" s="21"/>
      <c r="L88" s="22"/>
    </row>
    <row r="89" spans="1:12" x14ac:dyDescent="0.25">
      <c r="C89" s="22"/>
      <c r="D89" s="22"/>
      <c r="E89" s="22"/>
      <c r="F89" s="22"/>
      <c r="G89" s="22"/>
      <c r="H89" s="21"/>
      <c r="I89" s="21"/>
      <c r="J89" s="21"/>
      <c r="K89" s="21"/>
      <c r="L89" s="22"/>
    </row>
    <row r="90" spans="1:12" x14ac:dyDescent="0.25">
      <c r="A90">
        <v>58</v>
      </c>
      <c r="B90" t="s">
        <v>3706</v>
      </c>
      <c r="C90" s="20">
        <f t="shared" ref="C90:H90" si="10">C37+C54+C66+C76+C86</f>
        <v>0</v>
      </c>
      <c r="D90" s="20">
        <f t="shared" si="10"/>
        <v>542462</v>
      </c>
      <c r="E90" s="20">
        <f t="shared" si="10"/>
        <v>501918</v>
      </c>
      <c r="F90" s="20">
        <f t="shared" si="10"/>
        <v>766318</v>
      </c>
      <c r="G90" s="20">
        <f t="shared" si="10"/>
        <v>568236.68999999994</v>
      </c>
      <c r="H90" s="20">
        <f t="shared" si="10"/>
        <v>621372.56000000006</v>
      </c>
      <c r="I90" s="20"/>
      <c r="J90" s="20">
        <f>J37+J54+J66+J76+J86</f>
        <v>567131.36699999997</v>
      </c>
      <c r="K90" s="20">
        <f>K37+K54+K66+K76+K86</f>
        <v>0</v>
      </c>
      <c r="L90" s="20">
        <f>L37+L54+L66+L76+L86</f>
        <v>567131.36699999997</v>
      </c>
    </row>
  </sheetData>
  <sheetProtection insertRows="0"/>
  <pageMargins left="0.25" right="0.25" top="0.75" bottom="0.75" header="0.3" footer="0.3"/>
  <pageSetup scale="76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B915-7179-42BF-874A-94F1CFE56DAD}">
  <sheetPr>
    <pageSetUpPr fitToPage="1"/>
  </sheetPr>
  <dimension ref="A1:L24"/>
  <sheetViews>
    <sheetView zoomScaleNormal="100" workbookViewId="0">
      <selection activeCell="J17" sqref="J17"/>
    </sheetView>
  </sheetViews>
  <sheetFormatPr defaultRowHeight="15" x14ac:dyDescent="0.25"/>
  <cols>
    <col min="2" max="2" width="28.140625" bestFit="1" customWidth="1"/>
    <col min="3" max="3" width="13.28515625" bestFit="1" customWidth="1"/>
    <col min="4" max="4" width="15" bestFit="1" customWidth="1"/>
    <col min="5" max="5" width="12.5703125" bestFit="1" customWidth="1"/>
    <col min="6" max="6" width="14.28515625" bestFit="1" customWidth="1"/>
    <col min="7" max="7" width="12.85546875" bestFit="1" customWidth="1"/>
    <col min="8" max="8" width="13.28515625" bestFit="1" customWidth="1"/>
    <col min="9" max="9" width="10.7109375" customWidth="1"/>
    <col min="10" max="10" width="13.28515625" bestFit="1" customWidth="1"/>
    <col min="11" max="11" width="14.7109375" bestFit="1" customWidth="1"/>
    <col min="12" max="12" width="14.140625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45854</v>
      </c>
      <c r="H5" s="3" t="s">
        <v>17</v>
      </c>
      <c r="I5" s="3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2" x14ac:dyDescent="0.25">
      <c r="A8" t="s">
        <v>3707</v>
      </c>
    </row>
    <row r="11" spans="1:12" x14ac:dyDescent="0.25">
      <c r="A11" t="s">
        <v>530</v>
      </c>
    </row>
    <row r="12" spans="1:12" x14ac:dyDescent="0.25">
      <c r="A12" t="s">
        <v>18</v>
      </c>
      <c r="B12" t="s">
        <v>526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x14ac:dyDescent="0.25">
      <c r="A13" t="s">
        <v>1601</v>
      </c>
      <c r="B13" t="s">
        <v>1602</v>
      </c>
      <c r="C13" s="22">
        <v>438694</v>
      </c>
      <c r="D13" s="22">
        <v>800000</v>
      </c>
      <c r="E13" s="22">
        <v>800000</v>
      </c>
      <c r="F13" s="22">
        <v>970519</v>
      </c>
      <c r="G13" s="22">
        <v>0</v>
      </c>
      <c r="H13" s="21">
        <v>0</v>
      </c>
      <c r="I13" s="21"/>
      <c r="J13" s="21">
        <v>450000</v>
      </c>
      <c r="K13" s="21">
        <v>0</v>
      </c>
      <c r="L13" s="22">
        <f>SUM(J13+K13)</f>
        <v>450000</v>
      </c>
    </row>
    <row r="14" spans="1:12" x14ac:dyDescent="0.25">
      <c r="A14" t="s">
        <v>1603</v>
      </c>
      <c r="B14" t="s">
        <v>1604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1">
        <v>0</v>
      </c>
      <c r="I14" s="21"/>
      <c r="J14" s="21">
        <v>0</v>
      </c>
      <c r="K14" s="21">
        <v>0</v>
      </c>
      <c r="L14" s="22">
        <f t="shared" ref="L14:L16" si="0">SUM(J14+K14)</f>
        <v>0</v>
      </c>
    </row>
    <row r="15" spans="1:12" x14ac:dyDescent="0.25">
      <c r="A15" t="s">
        <v>1605</v>
      </c>
      <c r="B15" t="s">
        <v>1606</v>
      </c>
      <c r="C15" s="22">
        <v>407000</v>
      </c>
      <c r="D15" s="22">
        <v>0</v>
      </c>
      <c r="E15" s="22">
        <v>0</v>
      </c>
      <c r="F15" s="22">
        <v>0</v>
      </c>
      <c r="G15" s="22">
        <v>0</v>
      </c>
      <c r="H15" s="21">
        <v>0</v>
      </c>
      <c r="I15" s="21"/>
      <c r="J15" s="21">
        <v>0</v>
      </c>
      <c r="K15" s="21">
        <v>0</v>
      </c>
      <c r="L15" s="22">
        <f t="shared" si="0"/>
        <v>0</v>
      </c>
    </row>
    <row r="16" spans="1:12" x14ac:dyDescent="0.25">
      <c r="A16" t="s">
        <v>1607</v>
      </c>
      <c r="B16" t="s">
        <v>1608</v>
      </c>
      <c r="C16" s="22">
        <v>0</v>
      </c>
      <c r="D16" s="22">
        <v>0</v>
      </c>
      <c r="E16" s="22">
        <v>0</v>
      </c>
      <c r="F16" s="22">
        <v>92299</v>
      </c>
      <c r="G16" s="22">
        <v>0</v>
      </c>
      <c r="H16" s="21">
        <v>0</v>
      </c>
      <c r="I16" s="21"/>
      <c r="J16" s="21">
        <v>100000</v>
      </c>
      <c r="K16" s="21">
        <v>0</v>
      </c>
      <c r="L16" s="22">
        <f t="shared" si="0"/>
        <v>100000</v>
      </c>
    </row>
    <row r="17" spans="1:12" x14ac:dyDescent="0.25"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25"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x14ac:dyDescent="0.25">
      <c r="A19" t="s">
        <v>109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5">
      <c r="B20" t="s">
        <v>530</v>
      </c>
      <c r="C20" s="22">
        <f t="shared" ref="C20:H20" si="1">SUM(C13:C16)</f>
        <v>845694</v>
      </c>
      <c r="D20" s="22">
        <f t="shared" si="1"/>
        <v>800000</v>
      </c>
      <c r="E20" s="22">
        <f t="shared" si="1"/>
        <v>800000</v>
      </c>
      <c r="F20" s="22">
        <f t="shared" si="1"/>
        <v>1062818</v>
      </c>
      <c r="G20" s="22">
        <f t="shared" si="1"/>
        <v>0</v>
      </c>
      <c r="H20" s="22">
        <f t="shared" si="1"/>
        <v>0</v>
      </c>
      <c r="I20" s="22"/>
      <c r="J20" s="22">
        <f>SUM(J13:J16)</f>
        <v>550000</v>
      </c>
      <c r="K20" s="22">
        <f>SUM(K13:K16)</f>
        <v>0</v>
      </c>
      <c r="L20" s="22">
        <f>SUM(L13:L16)</f>
        <v>550000</v>
      </c>
    </row>
    <row r="21" spans="1:12" x14ac:dyDescent="0.25"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x14ac:dyDescent="0.25"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5">
      <c r="A23" t="s">
        <v>109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5">
      <c r="A24">
        <v>86</v>
      </c>
      <c r="B24" t="s">
        <v>3708</v>
      </c>
      <c r="C24" s="22">
        <f t="shared" ref="C24:H24" si="2">C20</f>
        <v>845694</v>
      </c>
      <c r="D24" s="22">
        <f t="shared" si="2"/>
        <v>800000</v>
      </c>
      <c r="E24" s="22">
        <f t="shared" si="2"/>
        <v>800000</v>
      </c>
      <c r="F24" s="22">
        <f t="shared" si="2"/>
        <v>1062818</v>
      </c>
      <c r="G24" s="22">
        <f t="shared" si="2"/>
        <v>0</v>
      </c>
      <c r="H24" s="22">
        <f t="shared" si="2"/>
        <v>0</v>
      </c>
      <c r="I24" s="22"/>
      <c r="J24" s="22">
        <f>J20</f>
        <v>550000</v>
      </c>
      <c r="K24" s="22">
        <f>K20</f>
        <v>0</v>
      </c>
      <c r="L24" s="22">
        <f>L20</f>
        <v>550000</v>
      </c>
    </row>
  </sheetData>
  <sheetProtection algorithmName="SHA-512" hashValue="QQHQiXcFlH8CXOfp0YffB4HXykjqCx9gptzc5cbL1q0Ra5/xTU0YqkTQKj2QKe3Jo+PPtzjH9JtoIbgT0eVVVw==" saltValue="WdAP5/gnQubeWOwWZ95apQ==" spinCount="100000" sheet="1" objects="1" scenarios="1" insertRows="0"/>
  <pageMargins left="0.25" right="0.25" top="0.75" bottom="0.75" header="0.3" footer="0.3"/>
  <pageSetup scale="78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3D3A7-B3AD-4C75-B3A7-8974E283E639}">
  <sheetPr>
    <pageSetUpPr fitToPage="1"/>
  </sheetPr>
  <dimension ref="A1:L87"/>
  <sheetViews>
    <sheetView zoomScaleNormal="100" workbookViewId="0">
      <selection activeCell="J10" sqref="J10"/>
    </sheetView>
  </sheetViews>
  <sheetFormatPr defaultRowHeight="15" x14ac:dyDescent="0.25"/>
  <cols>
    <col min="2" max="2" width="28.140625" bestFit="1" customWidth="1"/>
    <col min="3" max="3" width="13.28515625" bestFit="1" customWidth="1"/>
    <col min="4" max="4" width="15" bestFit="1" customWidth="1"/>
    <col min="5" max="5" width="14" bestFit="1" customWidth="1"/>
    <col min="6" max="6" width="14.140625" bestFit="1" customWidth="1"/>
    <col min="7" max="7" width="12.85546875" bestFit="1" customWidth="1"/>
    <col min="8" max="8" width="13.28515625" bestFit="1" customWidth="1"/>
    <col min="9" max="9" width="11.7109375" bestFit="1" customWidth="1"/>
    <col min="10" max="10" width="13.42578125" bestFit="1" customWidth="1"/>
    <col min="11" max="11" width="14.7109375" bestFit="1" customWidth="1"/>
    <col min="12" max="12" width="14.140625" bestFit="1" customWidth="1"/>
  </cols>
  <sheetData>
    <row r="1" spans="1:12" x14ac:dyDescent="0.25">
      <c r="A1" t="s">
        <v>3709</v>
      </c>
    </row>
    <row r="2" spans="1:12" x14ac:dyDescent="0.25">
      <c r="A2" t="s">
        <v>1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3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2" x14ac:dyDescent="0.25">
      <c r="A8" t="s">
        <v>1619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x14ac:dyDescent="0.25">
      <c r="A9" t="s">
        <v>18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x14ac:dyDescent="0.25">
      <c r="A10" t="s">
        <v>1620</v>
      </c>
      <c r="B10" t="s">
        <v>1621</v>
      </c>
      <c r="C10" s="22">
        <v>236652</v>
      </c>
      <c r="D10" s="22">
        <v>213820</v>
      </c>
      <c r="E10" s="22">
        <v>190782</v>
      </c>
      <c r="F10" s="22">
        <v>261012</v>
      </c>
      <c r="G10" s="22">
        <v>167444.71</v>
      </c>
      <c r="H10" s="21">
        <v>170000</v>
      </c>
      <c r="I10" s="21"/>
      <c r="J10" s="24">
        <v>160000</v>
      </c>
      <c r="K10" s="21">
        <v>0</v>
      </c>
      <c r="L10" s="22">
        <f>SUM(J10+K10)</f>
        <v>160000</v>
      </c>
    </row>
    <row r="11" spans="1:12" x14ac:dyDescent="0.25">
      <c r="A11" t="s">
        <v>1622</v>
      </c>
      <c r="B11" t="s">
        <v>62</v>
      </c>
      <c r="C11" s="22">
        <v>6353</v>
      </c>
      <c r="D11" s="22">
        <v>44268</v>
      </c>
      <c r="E11" s="22">
        <v>55057</v>
      </c>
      <c r="F11" s="22">
        <v>40988</v>
      </c>
      <c r="G11" s="22">
        <v>36313.550000000003</v>
      </c>
      <c r="H11" s="21">
        <v>48184</v>
      </c>
      <c r="I11" s="21"/>
      <c r="J11" s="21">
        <v>52000</v>
      </c>
      <c r="K11" s="21">
        <v>0</v>
      </c>
      <c r="L11" s="22">
        <f t="shared" ref="L11:L14" si="0">SUM(J11+K11)</f>
        <v>52000</v>
      </c>
    </row>
    <row r="12" spans="1:12" x14ac:dyDescent="0.25">
      <c r="A12" t="s">
        <v>151</v>
      </c>
      <c r="B12" t="s">
        <v>77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1">
        <v>0</v>
      </c>
      <c r="I12" s="21"/>
      <c r="J12" s="21">
        <v>0</v>
      </c>
      <c r="K12" s="21">
        <v>0</v>
      </c>
      <c r="L12" s="22">
        <f t="shared" si="0"/>
        <v>0</v>
      </c>
    </row>
    <row r="13" spans="1:12" x14ac:dyDescent="0.25">
      <c r="A13" t="s">
        <v>1623</v>
      </c>
      <c r="B13" t="s">
        <v>101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 t="shared" si="0"/>
        <v>0</v>
      </c>
    </row>
    <row r="14" spans="1:12" x14ac:dyDescent="0.25">
      <c r="A14" t="s">
        <v>1624</v>
      </c>
      <c r="B14" t="s">
        <v>1625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1">
        <v>0</v>
      </c>
      <c r="I14" s="21"/>
      <c r="J14" s="21">
        <v>0</v>
      </c>
      <c r="K14" s="21">
        <v>0</v>
      </c>
      <c r="L14" s="22">
        <f t="shared" si="0"/>
        <v>0</v>
      </c>
    </row>
    <row r="15" spans="1:12" x14ac:dyDescent="0.25"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 x14ac:dyDescent="0.25"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x14ac:dyDescent="0.25">
      <c r="A17" t="s">
        <v>109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25">
      <c r="B18" t="s">
        <v>1619</v>
      </c>
      <c r="C18" s="22">
        <f t="shared" ref="C18:H18" si="1">SUM(C10:C14)</f>
        <v>243005</v>
      </c>
      <c r="D18" s="22">
        <f t="shared" si="1"/>
        <v>258088</v>
      </c>
      <c r="E18" s="22">
        <f t="shared" si="1"/>
        <v>245839</v>
      </c>
      <c r="F18" s="22">
        <f t="shared" si="1"/>
        <v>302000</v>
      </c>
      <c r="G18" s="22">
        <f t="shared" si="1"/>
        <v>203758.26</v>
      </c>
      <c r="H18" s="22">
        <f t="shared" si="1"/>
        <v>218184</v>
      </c>
      <c r="I18" s="22"/>
      <c r="J18" s="22">
        <f>SUM(J10:J14)</f>
        <v>212000</v>
      </c>
      <c r="K18" s="22">
        <f>SUM(K10:K14)</f>
        <v>0</v>
      </c>
      <c r="L18" s="22">
        <f>SUM(L10:L14)</f>
        <v>212000</v>
      </c>
    </row>
    <row r="19" spans="1:12" x14ac:dyDescent="0.25"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5"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x14ac:dyDescent="0.25"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x14ac:dyDescent="0.25">
      <c r="A22" t="s">
        <v>3542</v>
      </c>
      <c r="C22" s="22">
        <f t="shared" ref="C22:H22" si="2">C18</f>
        <v>243005</v>
      </c>
      <c r="D22" s="22">
        <f t="shared" si="2"/>
        <v>258088</v>
      </c>
      <c r="E22" s="22">
        <f t="shared" si="2"/>
        <v>245839</v>
      </c>
      <c r="F22" s="22">
        <f t="shared" si="2"/>
        <v>302000</v>
      </c>
      <c r="G22" s="22">
        <f t="shared" si="2"/>
        <v>203758.26</v>
      </c>
      <c r="H22" s="22">
        <f t="shared" si="2"/>
        <v>218184</v>
      </c>
      <c r="I22" s="22"/>
      <c r="J22" s="22">
        <f>J18</f>
        <v>212000</v>
      </c>
      <c r="K22" s="22">
        <f>K18</f>
        <v>0</v>
      </c>
      <c r="L22" s="22">
        <f>L18</f>
        <v>212000</v>
      </c>
    </row>
    <row r="23" spans="1:12" x14ac:dyDescent="0.25"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5">
      <c r="A24" s="1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 x14ac:dyDescent="0.25"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1:12" x14ac:dyDescent="0.25">
      <c r="A27" t="s">
        <v>3709</v>
      </c>
    </row>
    <row r="28" spans="1:12" x14ac:dyDescent="0.25">
      <c r="A28" t="s">
        <v>386</v>
      </c>
    </row>
    <row r="29" spans="1:12" x14ac:dyDescent="0.25">
      <c r="F29" s="5" t="s">
        <v>2</v>
      </c>
      <c r="G29" s="3" t="s">
        <v>3410</v>
      </c>
      <c r="H29" t="s">
        <v>4</v>
      </c>
      <c r="J29" s="5" t="s">
        <v>3411</v>
      </c>
      <c r="K29" s="3" t="s">
        <v>3412</v>
      </c>
      <c r="L29" s="6" t="s">
        <v>3413</v>
      </c>
    </row>
    <row r="30" spans="1:12" x14ac:dyDescent="0.25">
      <c r="C30" s="3" t="s">
        <v>7</v>
      </c>
      <c r="D30" s="3" t="s">
        <v>8</v>
      </c>
      <c r="E30" s="3" t="s">
        <v>9</v>
      </c>
      <c r="F30" s="3" t="s">
        <v>10</v>
      </c>
      <c r="G30" s="3" t="s">
        <v>11</v>
      </c>
      <c r="H30" s="3" t="s">
        <v>12</v>
      </c>
      <c r="I30" s="3"/>
      <c r="J30" s="3" t="s">
        <v>3414</v>
      </c>
      <c r="K30" s="3" t="s">
        <v>3415</v>
      </c>
      <c r="L30" s="3" t="s">
        <v>3416</v>
      </c>
    </row>
    <row r="31" spans="1:12" x14ac:dyDescent="0.25">
      <c r="C31" s="3" t="s">
        <v>15</v>
      </c>
      <c r="D31" s="3" t="s">
        <v>15</v>
      </c>
      <c r="E31" s="3" t="s">
        <v>15</v>
      </c>
      <c r="F31" s="3" t="s">
        <v>16</v>
      </c>
      <c r="G31" s="4">
        <v>45889</v>
      </c>
      <c r="H31" s="3" t="s">
        <v>17</v>
      </c>
      <c r="I31" s="3"/>
      <c r="J31" s="3" t="s">
        <v>13</v>
      </c>
      <c r="K31" s="3" t="s">
        <v>3417</v>
      </c>
      <c r="L31" s="3" t="s">
        <v>13</v>
      </c>
    </row>
    <row r="32" spans="1:12" x14ac:dyDescent="0.25">
      <c r="A32" t="s">
        <v>18</v>
      </c>
      <c r="B32" t="s">
        <v>19</v>
      </c>
      <c r="C32" t="s">
        <v>20</v>
      </c>
      <c r="D32" t="s">
        <v>21</v>
      </c>
      <c r="E32" t="s">
        <v>22</v>
      </c>
      <c r="F32" t="s">
        <v>23</v>
      </c>
      <c r="G32" t="s">
        <v>24</v>
      </c>
      <c r="H32" t="s">
        <v>20</v>
      </c>
      <c r="J32" t="s">
        <v>24</v>
      </c>
      <c r="K32" t="s">
        <v>20</v>
      </c>
      <c r="L32" t="s">
        <v>20</v>
      </c>
    </row>
    <row r="34" spans="1:12" x14ac:dyDescent="0.25">
      <c r="A34" t="s">
        <v>1619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x14ac:dyDescent="0.25"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x14ac:dyDescent="0.25"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25">
      <c r="A37" t="s">
        <v>489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5">
      <c r="A38" t="s">
        <v>18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5">
      <c r="A39" t="s">
        <v>1626</v>
      </c>
      <c r="B39" t="s">
        <v>491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/>
      <c r="J39" s="22">
        <v>0</v>
      </c>
      <c r="K39" s="22">
        <v>0</v>
      </c>
      <c r="L39" s="22">
        <f>SUM(J39+K39)</f>
        <v>0</v>
      </c>
    </row>
    <row r="40" spans="1:12" x14ac:dyDescent="0.25"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5"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5">
      <c r="A42" t="s">
        <v>109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5">
      <c r="B43" t="s">
        <v>489</v>
      </c>
      <c r="C43" s="22">
        <f t="shared" ref="C43:H43" si="3">SUM(C39:C39)</f>
        <v>0</v>
      </c>
      <c r="D43" s="22">
        <f t="shared" si="3"/>
        <v>0</v>
      </c>
      <c r="E43" s="22">
        <f t="shared" si="3"/>
        <v>0</v>
      </c>
      <c r="F43" s="22">
        <f t="shared" si="3"/>
        <v>0</v>
      </c>
      <c r="G43" s="22">
        <f t="shared" si="3"/>
        <v>0</v>
      </c>
      <c r="H43" s="22">
        <f t="shared" si="3"/>
        <v>0</v>
      </c>
      <c r="I43" s="22"/>
      <c r="J43" s="22">
        <f>SUM(J39:J39)</f>
        <v>0</v>
      </c>
      <c r="K43" s="22">
        <f>SUM(K39:K39)</f>
        <v>0</v>
      </c>
      <c r="L43" s="22">
        <f>SUM(L39:L39)</f>
        <v>0</v>
      </c>
    </row>
    <row r="44" spans="1:12" x14ac:dyDescent="0.25"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5">
      <c r="A45" t="s">
        <v>501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5">
      <c r="A46" t="s">
        <v>18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x14ac:dyDescent="0.25">
      <c r="A47" t="s">
        <v>561</v>
      </c>
      <c r="B47" t="s">
        <v>503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/>
      <c r="J47" s="22">
        <v>0</v>
      </c>
      <c r="K47" s="22">
        <v>0</v>
      </c>
      <c r="L47" s="22">
        <f>SUM(J47+K47)</f>
        <v>0</v>
      </c>
    </row>
    <row r="48" spans="1:12" x14ac:dyDescent="0.25"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x14ac:dyDescent="0.25"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x14ac:dyDescent="0.25">
      <c r="A50" t="s">
        <v>109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1:12" x14ac:dyDescent="0.25">
      <c r="B51" t="s">
        <v>501</v>
      </c>
      <c r="C51" s="22">
        <f t="shared" ref="C51:H51" si="4">SUM(C47:C47)</f>
        <v>0</v>
      </c>
      <c r="D51" s="22">
        <f t="shared" si="4"/>
        <v>0</v>
      </c>
      <c r="E51" s="22">
        <f t="shared" si="4"/>
        <v>0</v>
      </c>
      <c r="F51" s="22">
        <f t="shared" si="4"/>
        <v>0</v>
      </c>
      <c r="G51" s="22">
        <f t="shared" si="4"/>
        <v>0</v>
      </c>
      <c r="H51" s="22">
        <f t="shared" si="4"/>
        <v>0</v>
      </c>
      <c r="I51" s="22"/>
      <c r="J51" s="22">
        <f>SUM(J47:J47)</f>
        <v>0</v>
      </c>
      <c r="K51" s="22">
        <f>SUM(K47:K47)</f>
        <v>0</v>
      </c>
      <c r="L51" s="22">
        <f>SUM(L47:L47)</f>
        <v>0</v>
      </c>
    </row>
    <row r="52" spans="1:12" x14ac:dyDescent="0.25"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x14ac:dyDescent="0.25">
      <c r="A53" t="s">
        <v>1633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x14ac:dyDescent="0.25">
      <c r="A54" t="s">
        <v>18</v>
      </c>
      <c r="B54" t="s">
        <v>108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x14ac:dyDescent="0.25">
      <c r="A55" t="s">
        <v>1629</v>
      </c>
      <c r="B55" t="s">
        <v>1630</v>
      </c>
      <c r="C55" s="22">
        <v>48000</v>
      </c>
      <c r="D55" s="22">
        <v>48000</v>
      </c>
      <c r="E55" s="22">
        <v>36000</v>
      </c>
      <c r="F55" s="22">
        <v>48000</v>
      </c>
      <c r="G55" s="22">
        <v>36000</v>
      </c>
      <c r="H55" s="22">
        <v>48000</v>
      </c>
      <c r="I55" s="22"/>
      <c r="J55" s="22">
        <v>48000</v>
      </c>
      <c r="K55" s="22">
        <v>7000</v>
      </c>
      <c r="L55" s="22">
        <f>SUM(J55+K55)</f>
        <v>55000</v>
      </c>
    </row>
    <row r="56" spans="1:12" x14ac:dyDescent="0.25">
      <c r="A56" t="s">
        <v>1631</v>
      </c>
      <c r="B56" t="s">
        <v>1632</v>
      </c>
      <c r="C56" s="22">
        <v>35593</v>
      </c>
      <c r="D56" s="22">
        <v>91999</v>
      </c>
      <c r="E56" s="22">
        <v>164971</v>
      </c>
      <c r="F56" s="22">
        <v>105550</v>
      </c>
      <c r="G56" s="22">
        <v>47346.71</v>
      </c>
      <c r="H56" s="22">
        <v>55000</v>
      </c>
      <c r="I56" s="22"/>
      <c r="J56" s="22">
        <v>102250</v>
      </c>
      <c r="K56" s="22">
        <v>253350</v>
      </c>
      <c r="L56" s="22">
        <f>SUM(J56+K56)</f>
        <v>355600</v>
      </c>
    </row>
    <row r="57" spans="1:12" x14ac:dyDescent="0.25">
      <c r="B57" t="s">
        <v>3710</v>
      </c>
      <c r="C57" s="22"/>
      <c r="D57" s="22"/>
      <c r="E57" s="22"/>
      <c r="F57" s="22"/>
      <c r="G57" s="22"/>
      <c r="H57" s="22"/>
      <c r="I57" s="22">
        <v>40000</v>
      </c>
      <c r="J57" s="22"/>
      <c r="K57" s="22">
        <v>0</v>
      </c>
      <c r="L57" s="22"/>
    </row>
    <row r="58" spans="1:12" x14ac:dyDescent="0.25">
      <c r="B58" t="s">
        <v>3711</v>
      </c>
      <c r="C58" s="22"/>
      <c r="D58" s="22"/>
      <c r="E58" s="22"/>
      <c r="F58" s="22"/>
      <c r="G58" s="22"/>
      <c r="H58" s="22"/>
      <c r="I58" s="27">
        <v>0</v>
      </c>
      <c r="J58" s="22"/>
      <c r="K58" s="22">
        <v>0</v>
      </c>
      <c r="L58" s="22"/>
    </row>
    <row r="59" spans="1:12" x14ac:dyDescent="0.25">
      <c r="B59" t="s">
        <v>3712</v>
      </c>
      <c r="C59" s="22"/>
      <c r="D59" s="22"/>
      <c r="E59" s="22"/>
      <c r="F59" s="22"/>
      <c r="G59" s="22"/>
      <c r="H59" s="22"/>
      <c r="I59" s="27">
        <v>0</v>
      </c>
      <c r="J59" s="22"/>
      <c r="K59" s="22">
        <v>0</v>
      </c>
      <c r="L59" s="22"/>
    </row>
    <row r="60" spans="1:12" x14ac:dyDescent="0.25">
      <c r="B60" t="s">
        <v>3713</v>
      </c>
      <c r="C60" s="22"/>
      <c r="D60" s="22"/>
      <c r="E60" s="22"/>
      <c r="F60" s="22"/>
      <c r="G60" s="22"/>
      <c r="H60" s="22"/>
      <c r="I60" s="27">
        <v>0</v>
      </c>
      <c r="J60" s="22"/>
      <c r="K60" s="22">
        <v>0</v>
      </c>
      <c r="L60" s="22"/>
    </row>
    <row r="61" spans="1:12" x14ac:dyDescent="0.25">
      <c r="B61" t="s">
        <v>3714</v>
      </c>
      <c r="C61" s="22"/>
      <c r="D61" s="22"/>
      <c r="E61" s="22"/>
      <c r="F61" s="22"/>
      <c r="G61" s="22"/>
      <c r="H61" s="22"/>
      <c r="I61" s="27">
        <v>0</v>
      </c>
      <c r="J61" s="22"/>
      <c r="K61" s="22">
        <v>0</v>
      </c>
      <c r="L61" s="22"/>
    </row>
    <row r="62" spans="1:12" x14ac:dyDescent="0.25">
      <c r="B62" t="s">
        <v>3715</v>
      </c>
      <c r="C62" s="22"/>
      <c r="D62" s="22"/>
      <c r="E62" s="22"/>
      <c r="F62" s="22"/>
      <c r="G62" s="22"/>
      <c r="H62" s="22"/>
      <c r="I62" s="27">
        <v>12250</v>
      </c>
      <c r="J62" s="22"/>
      <c r="K62" s="22">
        <v>25350</v>
      </c>
      <c r="L62" s="22"/>
    </row>
    <row r="63" spans="1:12" x14ac:dyDescent="0.25">
      <c r="B63" t="s">
        <v>3786</v>
      </c>
      <c r="C63" s="22"/>
      <c r="D63" s="22"/>
      <c r="E63" s="22"/>
      <c r="F63" s="22"/>
      <c r="G63" s="22"/>
      <c r="H63" s="22"/>
      <c r="I63" s="22">
        <v>50000</v>
      </c>
      <c r="J63" s="22"/>
      <c r="K63" s="22"/>
      <c r="L63" s="22"/>
    </row>
    <row r="64" spans="1:12" x14ac:dyDescent="0.25"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x14ac:dyDescent="0.25">
      <c r="A65" t="s">
        <v>109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1:12" x14ac:dyDescent="0.25">
      <c r="B66" t="s">
        <v>1633</v>
      </c>
      <c r="C66" s="22">
        <f t="shared" ref="C66:H66" si="5">SUM(C55:C56)</f>
        <v>83593</v>
      </c>
      <c r="D66" s="22">
        <f t="shared" si="5"/>
        <v>139999</v>
      </c>
      <c r="E66" s="22">
        <f t="shared" si="5"/>
        <v>200971</v>
      </c>
      <c r="F66" s="22">
        <f t="shared" si="5"/>
        <v>153550</v>
      </c>
      <c r="G66" s="22">
        <f t="shared" si="5"/>
        <v>83346.709999999992</v>
      </c>
      <c r="H66" s="22">
        <f t="shared" si="5"/>
        <v>103000</v>
      </c>
      <c r="I66" s="22"/>
      <c r="J66" s="22">
        <f>SUM(J55:J56)</f>
        <v>150250</v>
      </c>
      <c r="K66" s="22">
        <f>SUM(K55:K56)</f>
        <v>260350</v>
      </c>
      <c r="L66" s="22">
        <f>SUM(L55:L56)</f>
        <v>410600</v>
      </c>
    </row>
    <row r="67" spans="1:12" x14ac:dyDescent="0.25"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1:12" x14ac:dyDescent="0.25">
      <c r="A68" t="s">
        <v>524</v>
      </c>
      <c r="B68" t="s">
        <v>525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/>
      <c r="J68" s="22">
        <v>0</v>
      </c>
      <c r="K68" s="22">
        <v>0</v>
      </c>
      <c r="L68" s="22">
        <f>SUM(J68+K68)</f>
        <v>0</v>
      </c>
    </row>
    <row r="69" spans="1:12" x14ac:dyDescent="0.25">
      <c r="A69" t="s">
        <v>18</v>
      </c>
      <c r="B69" t="s">
        <v>526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x14ac:dyDescent="0.25">
      <c r="A70" t="s">
        <v>565</v>
      </c>
      <c r="B70" t="s">
        <v>1634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/>
      <c r="J70" s="22">
        <v>0</v>
      </c>
      <c r="K70" s="22">
        <v>0</v>
      </c>
      <c r="L70" s="22">
        <f>SUM(J70+K70)</f>
        <v>0</v>
      </c>
    </row>
    <row r="71" spans="1:12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x14ac:dyDescent="0.25"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x14ac:dyDescent="0.25">
      <c r="A73" t="s">
        <v>109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x14ac:dyDescent="0.25">
      <c r="B74" t="s">
        <v>530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/>
      <c r="J74" s="22">
        <v>0</v>
      </c>
      <c r="K74" s="22">
        <v>0</v>
      </c>
      <c r="L74" s="22">
        <f>SUM(J74+K74)</f>
        <v>0</v>
      </c>
    </row>
    <row r="75" spans="1:12" x14ac:dyDescent="0.25"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x14ac:dyDescent="0.25"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x14ac:dyDescent="0.25">
      <c r="A77" t="s">
        <v>109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 x14ac:dyDescent="0.25">
      <c r="A78">
        <v>11</v>
      </c>
      <c r="B78" t="s">
        <v>3716</v>
      </c>
      <c r="C78" s="22">
        <f t="shared" ref="C78:H78" si="6">C43+C51+C66+C74</f>
        <v>83593</v>
      </c>
      <c r="D78" s="22">
        <f t="shared" si="6"/>
        <v>139999</v>
      </c>
      <c r="E78" s="22">
        <f t="shared" si="6"/>
        <v>200971</v>
      </c>
      <c r="F78" s="22">
        <f t="shared" si="6"/>
        <v>153550</v>
      </c>
      <c r="G78" s="22">
        <f t="shared" si="6"/>
        <v>83346.709999999992</v>
      </c>
      <c r="H78" s="22">
        <f t="shared" si="6"/>
        <v>103000</v>
      </c>
      <c r="I78" s="22"/>
      <c r="J78" s="22">
        <f>J43+J51+J66+J74</f>
        <v>150250</v>
      </c>
      <c r="K78" s="22">
        <f>K43+K51+K66+K74</f>
        <v>260350</v>
      </c>
      <c r="L78" s="22">
        <f>L43+L51+L66+L74</f>
        <v>410600</v>
      </c>
    </row>
    <row r="79" spans="1:12" x14ac:dyDescent="0.25"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x14ac:dyDescent="0.25"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x14ac:dyDescent="0.25"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x14ac:dyDescent="0.25">
      <c r="A82" t="s">
        <v>3717</v>
      </c>
      <c r="C82" s="22">
        <f t="shared" ref="C82:H82" si="7">C78</f>
        <v>83593</v>
      </c>
      <c r="D82" s="22">
        <f t="shared" si="7"/>
        <v>139999</v>
      </c>
      <c r="E82" s="22">
        <f t="shared" si="7"/>
        <v>200971</v>
      </c>
      <c r="F82" s="22">
        <f t="shared" si="7"/>
        <v>153550</v>
      </c>
      <c r="G82" s="22">
        <f t="shared" si="7"/>
        <v>83346.709999999992</v>
      </c>
      <c r="H82" s="22">
        <f t="shared" si="7"/>
        <v>103000</v>
      </c>
      <c r="I82" s="22"/>
      <c r="J82" s="22">
        <f>J78</f>
        <v>150250</v>
      </c>
      <c r="K82" s="22">
        <f>K78</f>
        <v>260350</v>
      </c>
      <c r="L82" s="22">
        <f>L78</f>
        <v>410600</v>
      </c>
    </row>
    <row r="83" spans="1:12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1:12" x14ac:dyDescent="0.25">
      <c r="A84" t="s">
        <v>1611</v>
      </c>
      <c r="B84" t="s">
        <v>1612</v>
      </c>
      <c r="C84" s="22">
        <f t="shared" ref="C84:H84" si="8">C22-C82</f>
        <v>159412</v>
      </c>
      <c r="D84" s="22">
        <f t="shared" si="8"/>
        <v>118089</v>
      </c>
      <c r="E84" s="22">
        <f t="shared" si="8"/>
        <v>44868</v>
      </c>
      <c r="F84" s="22">
        <f t="shared" si="8"/>
        <v>148450</v>
      </c>
      <c r="G84" s="22">
        <f t="shared" si="8"/>
        <v>120411.55000000002</v>
      </c>
      <c r="H84" s="22">
        <f t="shared" si="8"/>
        <v>115184</v>
      </c>
      <c r="I84" s="22"/>
      <c r="J84" s="22">
        <f>J22-J82</f>
        <v>61750</v>
      </c>
      <c r="K84" s="22">
        <f>K22-K82</f>
        <v>-260350</v>
      </c>
      <c r="L84" s="22">
        <f>L22-L82</f>
        <v>-198600</v>
      </c>
    </row>
    <row r="85" spans="1:12" x14ac:dyDescent="0.25"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x14ac:dyDescent="0.25"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</row>
  </sheetData>
  <sheetProtection algorithmName="SHA-512" hashValue="cveWVRXYoVJFLYWZjS2bQksPtJmIFNiEdsxpx/EphsJ62OyQSmFx6pSKPcAcJH1LtmX5JG3zTUKWfCbYZc5XZg==" saltValue="TaY7YVlsFCCpKZhpC2IlDw==" spinCount="100000" sheet="1" insertRows="0"/>
  <pageMargins left="0.25" right="0.25" top="0.75" bottom="0.75" header="0.3" footer="0.3"/>
  <pageSetup scale="76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8939-9FD1-4CB3-9E23-4AB609095732}">
  <sheetPr>
    <pageSetUpPr fitToPage="1"/>
  </sheetPr>
  <dimension ref="A1:L142"/>
  <sheetViews>
    <sheetView topLeftCell="A100" zoomScaleNormal="100" workbookViewId="0">
      <selection activeCell="M120" sqref="M120"/>
    </sheetView>
  </sheetViews>
  <sheetFormatPr defaultRowHeight="15" x14ac:dyDescent="0.25"/>
  <cols>
    <col min="2" max="2" width="33.140625" bestFit="1" customWidth="1"/>
    <col min="3" max="3" width="13.28515625" bestFit="1" customWidth="1"/>
    <col min="4" max="4" width="15" bestFit="1" customWidth="1"/>
    <col min="5" max="5" width="12.5703125" bestFit="1" customWidth="1"/>
    <col min="6" max="6" width="14.140625" bestFit="1" customWidth="1"/>
    <col min="7" max="7" width="12.5703125" bestFit="1" customWidth="1"/>
    <col min="8" max="8" width="13.28515625" bestFit="1" customWidth="1"/>
    <col min="9" max="9" width="10.7109375" customWidth="1"/>
    <col min="10" max="10" width="13.28515625" bestFit="1" customWidth="1"/>
    <col min="11" max="11" width="14.7109375" bestFit="1" customWidth="1"/>
    <col min="12" max="12" width="14.140625" bestFit="1" customWidth="1"/>
  </cols>
  <sheetData>
    <row r="1" spans="1:12" x14ac:dyDescent="0.25">
      <c r="A1" t="s">
        <v>3718</v>
      </c>
    </row>
    <row r="2" spans="1:12" x14ac:dyDescent="0.25">
      <c r="A2" t="s">
        <v>1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3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2" x14ac:dyDescent="0.25">
      <c r="A8" t="s">
        <v>371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x14ac:dyDescent="0.25">
      <c r="A9" t="s">
        <v>18</v>
      </c>
      <c r="B9" t="s">
        <v>20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x14ac:dyDescent="0.25">
      <c r="A10" t="s">
        <v>354</v>
      </c>
      <c r="B10" t="s">
        <v>62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1">
        <v>0</v>
      </c>
      <c r="I10" s="21"/>
      <c r="J10" s="21">
        <v>0</v>
      </c>
      <c r="K10" s="21">
        <v>0</v>
      </c>
      <c r="L10" s="22">
        <f>SUM(J10+K10)</f>
        <v>0</v>
      </c>
    </row>
    <row r="11" spans="1:12" x14ac:dyDescent="0.25">
      <c r="A11" t="s">
        <v>1637</v>
      </c>
      <c r="B11" t="s">
        <v>156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1">
        <v>0</v>
      </c>
      <c r="I11" s="21"/>
      <c r="J11" s="21">
        <v>0</v>
      </c>
      <c r="K11" s="21">
        <v>0</v>
      </c>
      <c r="L11" s="22">
        <f t="shared" ref="L11:L30" si="0">SUM(J11+K11)</f>
        <v>0</v>
      </c>
    </row>
    <row r="12" spans="1:12" x14ac:dyDescent="0.25">
      <c r="A12" t="s">
        <v>355</v>
      </c>
      <c r="B12" t="s">
        <v>356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1">
        <v>0</v>
      </c>
      <c r="I12" s="21"/>
      <c r="J12" s="21">
        <v>0</v>
      </c>
      <c r="K12" s="21">
        <v>0</v>
      </c>
      <c r="L12" s="22">
        <f t="shared" si="0"/>
        <v>0</v>
      </c>
    </row>
    <row r="13" spans="1:12" x14ac:dyDescent="0.25">
      <c r="A13" t="s">
        <v>357</v>
      </c>
      <c r="B13" t="s">
        <v>358</v>
      </c>
      <c r="C13" s="22">
        <v>381602</v>
      </c>
      <c r="D13" s="22">
        <v>270756</v>
      </c>
      <c r="E13" s="22">
        <v>294589</v>
      </c>
      <c r="F13" s="22">
        <v>275082</v>
      </c>
      <c r="G13" s="22">
        <v>207981.77</v>
      </c>
      <c r="H13" s="21">
        <v>275082</v>
      </c>
      <c r="I13" s="21"/>
      <c r="J13" s="21">
        <v>275000</v>
      </c>
      <c r="K13" s="21">
        <v>0</v>
      </c>
      <c r="L13" s="22">
        <f t="shared" si="0"/>
        <v>275000</v>
      </c>
    </row>
    <row r="14" spans="1:12" x14ac:dyDescent="0.25">
      <c r="A14" t="s">
        <v>359</v>
      </c>
      <c r="B14" t="s">
        <v>360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1">
        <v>0</v>
      </c>
      <c r="I14" s="21"/>
      <c r="J14" s="21">
        <v>0</v>
      </c>
      <c r="K14" s="21">
        <v>0</v>
      </c>
      <c r="L14" s="22">
        <f t="shared" si="0"/>
        <v>0</v>
      </c>
    </row>
    <row r="15" spans="1:12" x14ac:dyDescent="0.25">
      <c r="A15" t="s">
        <v>1638</v>
      </c>
      <c r="B15" t="s">
        <v>1639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1">
        <v>0</v>
      </c>
      <c r="I15" s="21"/>
      <c r="J15" s="21">
        <v>0</v>
      </c>
      <c r="K15" s="21">
        <v>0</v>
      </c>
      <c r="L15" s="22">
        <f t="shared" si="0"/>
        <v>0</v>
      </c>
    </row>
    <row r="16" spans="1:12" x14ac:dyDescent="0.25">
      <c r="A16" t="s">
        <v>1640</v>
      </c>
      <c r="B16" t="s">
        <v>1641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1">
        <v>0</v>
      </c>
      <c r="I16" s="21"/>
      <c r="J16" s="21">
        <v>0</v>
      </c>
      <c r="K16" s="21">
        <v>0</v>
      </c>
      <c r="L16" s="22">
        <f t="shared" si="0"/>
        <v>0</v>
      </c>
    </row>
    <row r="17" spans="1:12" x14ac:dyDescent="0.25">
      <c r="A17" t="s">
        <v>1642</v>
      </c>
      <c r="B17" t="s">
        <v>1643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1">
        <v>0</v>
      </c>
      <c r="I17" s="21"/>
      <c r="J17" s="21">
        <v>0</v>
      </c>
      <c r="K17" s="21">
        <v>0</v>
      </c>
      <c r="L17" s="22">
        <f t="shared" si="0"/>
        <v>0</v>
      </c>
    </row>
    <row r="18" spans="1:12" x14ac:dyDescent="0.25">
      <c r="A18" t="s">
        <v>1644</v>
      </c>
      <c r="B18" t="s">
        <v>1645</v>
      </c>
      <c r="C18" s="22">
        <v>23400</v>
      </c>
      <c r="D18" s="22">
        <v>23400</v>
      </c>
      <c r="E18" s="22">
        <v>0</v>
      </c>
      <c r="F18" s="22">
        <v>0</v>
      </c>
      <c r="G18" s="22">
        <v>0</v>
      </c>
      <c r="H18" s="21">
        <v>0</v>
      </c>
      <c r="I18" s="21"/>
      <c r="J18" s="21">
        <v>0</v>
      </c>
      <c r="K18" s="21">
        <v>0</v>
      </c>
      <c r="L18" s="22">
        <f t="shared" si="0"/>
        <v>0</v>
      </c>
    </row>
    <row r="19" spans="1:12" x14ac:dyDescent="0.25">
      <c r="A19" t="s">
        <v>1646</v>
      </c>
      <c r="B19" t="s">
        <v>1647</v>
      </c>
      <c r="C19" s="22">
        <v>1039</v>
      </c>
      <c r="D19" s="22">
        <v>410</v>
      </c>
      <c r="E19" s="22">
        <v>180</v>
      </c>
      <c r="F19" s="22">
        <v>200</v>
      </c>
      <c r="G19" s="22">
        <v>1245</v>
      </c>
      <c r="H19" s="21">
        <v>1300</v>
      </c>
      <c r="I19" s="21"/>
      <c r="J19" s="21">
        <v>1300</v>
      </c>
      <c r="K19" s="21">
        <v>0</v>
      </c>
      <c r="L19" s="22">
        <f t="shared" si="0"/>
        <v>1300</v>
      </c>
    </row>
    <row r="20" spans="1:12" x14ac:dyDescent="0.25">
      <c r="A20" t="s">
        <v>1648</v>
      </c>
      <c r="B20" t="s">
        <v>1649</v>
      </c>
      <c r="C20" s="22">
        <v>5740</v>
      </c>
      <c r="D20" s="22">
        <v>4760</v>
      </c>
      <c r="E20" s="22">
        <v>2555</v>
      </c>
      <c r="F20" s="22">
        <v>2773</v>
      </c>
      <c r="G20" s="22">
        <v>2430</v>
      </c>
      <c r="H20" s="21">
        <v>2500</v>
      </c>
      <c r="I20" s="21"/>
      <c r="J20" s="21">
        <v>2500</v>
      </c>
      <c r="K20" s="21">
        <v>0</v>
      </c>
      <c r="L20" s="22">
        <f t="shared" si="0"/>
        <v>2500</v>
      </c>
    </row>
    <row r="21" spans="1:12" x14ac:dyDescent="0.25">
      <c r="A21" t="s">
        <v>1650</v>
      </c>
      <c r="B21" t="s">
        <v>1651</v>
      </c>
      <c r="C21" s="22">
        <v>0</v>
      </c>
      <c r="D21" s="22">
        <v>30</v>
      </c>
      <c r="E21" s="22">
        <v>0</v>
      </c>
      <c r="F21" s="22">
        <v>0</v>
      </c>
      <c r="G21" s="22">
        <v>0</v>
      </c>
      <c r="H21" s="21">
        <v>0</v>
      </c>
      <c r="I21" s="21"/>
      <c r="J21" s="21">
        <v>0</v>
      </c>
      <c r="K21" s="21">
        <v>0</v>
      </c>
      <c r="L21" s="22">
        <f t="shared" si="0"/>
        <v>0</v>
      </c>
    </row>
    <row r="22" spans="1:12" x14ac:dyDescent="0.25">
      <c r="A22" t="s">
        <v>361</v>
      </c>
      <c r="B22" t="s">
        <v>362</v>
      </c>
      <c r="C22" s="22">
        <v>8342</v>
      </c>
      <c r="D22" s="22">
        <v>15941</v>
      </c>
      <c r="E22" s="22">
        <v>14160</v>
      </c>
      <c r="F22" s="22">
        <v>10000</v>
      </c>
      <c r="G22" s="22">
        <v>34827.89</v>
      </c>
      <c r="H22" s="21">
        <v>34828</v>
      </c>
      <c r="I22" s="21"/>
      <c r="J22" s="21">
        <v>15000</v>
      </c>
      <c r="K22" s="21">
        <v>0</v>
      </c>
      <c r="L22" s="22">
        <f t="shared" si="0"/>
        <v>15000</v>
      </c>
    </row>
    <row r="23" spans="1:12" x14ac:dyDescent="0.25">
      <c r="A23" t="s">
        <v>1652</v>
      </c>
      <c r="B23" t="s">
        <v>1653</v>
      </c>
      <c r="C23" s="22">
        <v>0</v>
      </c>
      <c r="D23" s="22">
        <v>43000</v>
      </c>
      <c r="E23" s="22">
        <v>32000</v>
      </c>
      <c r="F23" s="22">
        <v>0</v>
      </c>
      <c r="G23" s="22">
        <v>0</v>
      </c>
      <c r="H23" s="21">
        <v>0</v>
      </c>
      <c r="I23" s="21"/>
      <c r="J23" s="21">
        <v>0</v>
      </c>
      <c r="K23" s="21">
        <v>0</v>
      </c>
      <c r="L23" s="22">
        <f t="shared" si="0"/>
        <v>0</v>
      </c>
    </row>
    <row r="24" spans="1:12" x14ac:dyDescent="0.25">
      <c r="A24" t="s">
        <v>363</v>
      </c>
      <c r="B24" t="s">
        <v>1654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1">
        <v>0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365</v>
      </c>
      <c r="B25" t="s">
        <v>366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1">
        <v>0</v>
      </c>
      <c r="I25" s="21"/>
      <c r="J25" s="21">
        <v>0</v>
      </c>
      <c r="K25" s="21">
        <v>0</v>
      </c>
      <c r="L25" s="22">
        <f t="shared" si="0"/>
        <v>0</v>
      </c>
    </row>
    <row r="26" spans="1:12" x14ac:dyDescent="0.25">
      <c r="A26" t="s">
        <v>367</v>
      </c>
      <c r="B26" t="s">
        <v>368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1">
        <v>0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369</v>
      </c>
      <c r="B27" t="s">
        <v>370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1655</v>
      </c>
      <c r="B28" t="s">
        <v>1656</v>
      </c>
      <c r="C28" s="22">
        <v>0</v>
      </c>
      <c r="D28" s="22">
        <v>357424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1657</v>
      </c>
      <c r="B29" t="s">
        <v>1658</v>
      </c>
      <c r="C29" s="22">
        <v>0</v>
      </c>
      <c r="D29" s="22">
        <v>0</v>
      </c>
      <c r="E29" s="22">
        <v>0</v>
      </c>
      <c r="F29" s="22">
        <v>92299</v>
      </c>
      <c r="G29" s="22">
        <v>0</v>
      </c>
      <c r="H29" s="21">
        <v>0</v>
      </c>
      <c r="I29" s="21"/>
      <c r="J29" s="21">
        <v>50000</v>
      </c>
      <c r="K29" s="21">
        <v>0</v>
      </c>
      <c r="L29" s="22">
        <f t="shared" si="0"/>
        <v>50000</v>
      </c>
    </row>
    <row r="30" spans="1:12" x14ac:dyDescent="0.25">
      <c r="A30" t="s">
        <v>1659</v>
      </c>
      <c r="B30" t="s">
        <v>1660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1">
        <v>0</v>
      </c>
      <c r="I30" s="21"/>
      <c r="J30" s="21">
        <v>0</v>
      </c>
      <c r="K30" s="21">
        <v>0</v>
      </c>
      <c r="L30" s="22">
        <f t="shared" si="0"/>
        <v>0</v>
      </c>
    </row>
    <row r="31" spans="1:12" x14ac:dyDescent="0.25"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x14ac:dyDescent="0.25"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x14ac:dyDescent="0.25">
      <c r="A33" t="s">
        <v>109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x14ac:dyDescent="0.25">
      <c r="B34" t="s">
        <v>371</v>
      </c>
      <c r="C34" s="22">
        <f t="shared" ref="C34:H34" si="1">SUM(C10:C30)</f>
        <v>420123</v>
      </c>
      <c r="D34" s="22">
        <f t="shared" si="1"/>
        <v>715721</v>
      </c>
      <c r="E34" s="22">
        <f t="shared" si="1"/>
        <v>343484</v>
      </c>
      <c r="F34" s="22">
        <f t="shared" si="1"/>
        <v>380354</v>
      </c>
      <c r="G34" s="22">
        <f t="shared" si="1"/>
        <v>246484.65999999997</v>
      </c>
      <c r="H34" s="22">
        <f t="shared" si="1"/>
        <v>313710</v>
      </c>
      <c r="I34" s="22"/>
      <c r="J34" s="22">
        <f>SUM(J10:J30)</f>
        <v>343800</v>
      </c>
      <c r="K34" s="22">
        <f>SUM(K10:K30)</f>
        <v>0</v>
      </c>
      <c r="L34" s="22">
        <f>SUM(L10:L30)</f>
        <v>343800</v>
      </c>
    </row>
    <row r="35" spans="1:12" x14ac:dyDescent="0.25"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25"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25"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x14ac:dyDescent="0.25"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25"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x14ac:dyDescent="0.25">
      <c r="A40" s="1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25"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x14ac:dyDescent="0.25"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x14ac:dyDescent="0.25">
      <c r="A43" t="s">
        <v>3718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25">
      <c r="A44" t="s">
        <v>386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x14ac:dyDescent="0.25">
      <c r="C45" s="12"/>
      <c r="D45" s="12"/>
      <c r="E45" s="12"/>
      <c r="F45" s="13" t="s">
        <v>2</v>
      </c>
      <c r="G45" s="14" t="s">
        <v>3410</v>
      </c>
      <c r="H45" s="12" t="s">
        <v>4</v>
      </c>
      <c r="I45" s="12"/>
      <c r="J45" s="13" t="s">
        <v>3411</v>
      </c>
      <c r="K45" s="14" t="s">
        <v>3412</v>
      </c>
      <c r="L45" s="17" t="s">
        <v>3413</v>
      </c>
    </row>
    <row r="46" spans="1:12" x14ac:dyDescent="0.25">
      <c r="C46" s="14" t="s">
        <v>7</v>
      </c>
      <c r="D46" s="14" t="s">
        <v>8</v>
      </c>
      <c r="E46" s="14" t="s">
        <v>9</v>
      </c>
      <c r="F46" s="14" t="s">
        <v>10</v>
      </c>
      <c r="G46" s="14" t="s">
        <v>11</v>
      </c>
      <c r="H46" s="14" t="s">
        <v>12</v>
      </c>
      <c r="I46" s="14"/>
      <c r="J46" s="14" t="s">
        <v>3414</v>
      </c>
      <c r="K46" s="14" t="s">
        <v>3415</v>
      </c>
      <c r="L46" s="14" t="s">
        <v>3416</v>
      </c>
    </row>
    <row r="47" spans="1:12" x14ac:dyDescent="0.25">
      <c r="C47" s="14" t="s">
        <v>15</v>
      </c>
      <c r="D47" s="14" t="s">
        <v>15</v>
      </c>
      <c r="E47" s="14" t="s">
        <v>15</v>
      </c>
      <c r="F47" s="14" t="s">
        <v>16</v>
      </c>
      <c r="G47" s="19">
        <v>45889</v>
      </c>
      <c r="H47" s="14" t="s">
        <v>17</v>
      </c>
      <c r="I47" s="14"/>
      <c r="J47" s="14" t="s">
        <v>13</v>
      </c>
      <c r="K47" s="14" t="s">
        <v>3417</v>
      </c>
      <c r="L47" s="14" t="s">
        <v>13</v>
      </c>
    </row>
    <row r="48" spans="1:12" x14ac:dyDescent="0.25">
      <c r="A48" t="s">
        <v>18</v>
      </c>
      <c r="B48" t="s">
        <v>19</v>
      </c>
      <c r="C48" s="12" t="s">
        <v>20</v>
      </c>
      <c r="D48" s="12" t="s">
        <v>21</v>
      </c>
      <c r="E48" s="12" t="s">
        <v>22</v>
      </c>
      <c r="F48" s="12" t="s">
        <v>23</v>
      </c>
      <c r="G48" s="12" t="s">
        <v>24</v>
      </c>
      <c r="H48" s="12" t="s">
        <v>20</v>
      </c>
      <c r="I48" s="12"/>
      <c r="J48" s="12" t="s">
        <v>24</v>
      </c>
      <c r="K48" s="12" t="s">
        <v>20</v>
      </c>
      <c r="L48" s="12" t="s">
        <v>20</v>
      </c>
    </row>
    <row r="49" spans="1:12" x14ac:dyDescent="0.25"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x14ac:dyDescent="0.25">
      <c r="A50" t="s">
        <v>371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25"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25"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25">
      <c r="A53" t="s">
        <v>441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x14ac:dyDescent="0.25">
      <c r="A54" t="s">
        <v>18</v>
      </c>
      <c r="B54" t="s">
        <v>228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x14ac:dyDescent="0.25">
      <c r="A55" t="s">
        <v>1662</v>
      </c>
      <c r="B55" t="s">
        <v>569</v>
      </c>
      <c r="C55" s="22">
        <v>646</v>
      </c>
      <c r="D55" s="22">
        <v>565</v>
      </c>
      <c r="E55" s="22">
        <v>0</v>
      </c>
      <c r="F55" s="22">
        <v>0</v>
      </c>
      <c r="G55" s="22">
        <v>0</v>
      </c>
      <c r="H55" s="21">
        <v>0</v>
      </c>
      <c r="I55" s="21"/>
      <c r="J55" s="21">
        <v>0</v>
      </c>
      <c r="K55" s="21">
        <v>0</v>
      </c>
      <c r="L55" s="22">
        <f>SUM(J55+K55)</f>
        <v>0</v>
      </c>
    </row>
    <row r="56" spans="1:12" x14ac:dyDescent="0.25">
      <c r="A56" t="s">
        <v>1663</v>
      </c>
      <c r="B56" t="s">
        <v>396</v>
      </c>
      <c r="C56" s="22">
        <v>114</v>
      </c>
      <c r="D56" s="22">
        <v>13</v>
      </c>
      <c r="E56" s="22">
        <v>95</v>
      </c>
      <c r="F56" s="22">
        <v>252</v>
      </c>
      <c r="G56" s="22">
        <v>59.98</v>
      </c>
      <c r="H56" s="21">
        <v>75</v>
      </c>
      <c r="I56" s="21"/>
      <c r="J56" s="21">
        <v>63</v>
      </c>
      <c r="K56" s="21">
        <v>0</v>
      </c>
      <c r="L56" s="22">
        <f t="shared" ref="L56:L67" si="2">SUM(J56+K56)</f>
        <v>63</v>
      </c>
    </row>
    <row r="57" spans="1:12" x14ac:dyDescent="0.25">
      <c r="A57" t="s">
        <v>1664</v>
      </c>
      <c r="B57" t="s">
        <v>398</v>
      </c>
      <c r="C57" s="22">
        <v>596</v>
      </c>
      <c r="D57" s="22">
        <v>1060</v>
      </c>
      <c r="E57" s="22">
        <v>1075</v>
      </c>
      <c r="F57" s="22">
        <v>1117</v>
      </c>
      <c r="G57" s="22">
        <v>645.76</v>
      </c>
      <c r="H57" s="21">
        <v>850</v>
      </c>
      <c r="I57" s="21"/>
      <c r="J57" s="21">
        <v>1209.81</v>
      </c>
      <c r="K57" s="21">
        <v>0</v>
      </c>
      <c r="L57" s="22">
        <f t="shared" si="2"/>
        <v>1209.81</v>
      </c>
    </row>
    <row r="58" spans="1:12" x14ac:dyDescent="0.25">
      <c r="A58" t="s">
        <v>1665</v>
      </c>
      <c r="B58" t="s">
        <v>400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1">
        <v>0</v>
      </c>
      <c r="I58" s="21"/>
      <c r="J58" s="21">
        <v>0</v>
      </c>
      <c r="K58" s="21">
        <v>0</v>
      </c>
      <c r="L58" s="22">
        <f t="shared" si="2"/>
        <v>0</v>
      </c>
    </row>
    <row r="59" spans="1:12" x14ac:dyDescent="0.25">
      <c r="A59" t="s">
        <v>1666</v>
      </c>
      <c r="B59" t="s">
        <v>406</v>
      </c>
      <c r="C59" s="22">
        <v>0</v>
      </c>
      <c r="D59" s="22">
        <v>229</v>
      </c>
      <c r="E59" s="22">
        <v>835</v>
      </c>
      <c r="F59" s="22">
        <v>919</v>
      </c>
      <c r="G59" s="22">
        <v>1246.3</v>
      </c>
      <c r="H59" s="21">
        <v>1246</v>
      </c>
      <c r="I59" s="21"/>
      <c r="J59" s="21">
        <v>0</v>
      </c>
      <c r="K59" s="21">
        <v>0</v>
      </c>
      <c r="L59" s="22">
        <f t="shared" si="2"/>
        <v>0</v>
      </c>
    </row>
    <row r="60" spans="1:12" x14ac:dyDescent="0.25">
      <c r="A60" t="s">
        <v>1667</v>
      </c>
      <c r="B60" t="s">
        <v>424</v>
      </c>
      <c r="C60" s="22">
        <v>35</v>
      </c>
      <c r="D60" s="22">
        <v>35</v>
      </c>
      <c r="E60" s="22">
        <v>69</v>
      </c>
      <c r="F60" s="22">
        <v>50</v>
      </c>
      <c r="G60" s="22">
        <v>0</v>
      </c>
      <c r="H60" s="21">
        <v>0</v>
      </c>
      <c r="I60" s="21"/>
      <c r="J60" s="21">
        <v>34.6</v>
      </c>
      <c r="K60" s="21">
        <v>0</v>
      </c>
      <c r="L60" s="22">
        <f t="shared" si="2"/>
        <v>34.6</v>
      </c>
    </row>
    <row r="61" spans="1:12" x14ac:dyDescent="0.25">
      <c r="A61" t="s">
        <v>1668</v>
      </c>
      <c r="B61" t="s">
        <v>1204</v>
      </c>
      <c r="C61" s="22">
        <v>180</v>
      </c>
      <c r="D61" s="22">
        <v>180</v>
      </c>
      <c r="E61" s="22">
        <v>180</v>
      </c>
      <c r="F61" s="22">
        <v>180</v>
      </c>
      <c r="G61" s="22">
        <v>0</v>
      </c>
      <c r="H61" s="21">
        <v>0</v>
      </c>
      <c r="I61" s="21"/>
      <c r="J61" s="21">
        <v>179.95</v>
      </c>
      <c r="K61" s="21">
        <v>0</v>
      </c>
      <c r="L61" s="22">
        <f t="shared" si="2"/>
        <v>179.95</v>
      </c>
    </row>
    <row r="62" spans="1:12" x14ac:dyDescent="0.25">
      <c r="A62" t="s">
        <v>1669</v>
      </c>
      <c r="B62" t="s">
        <v>428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1">
        <v>0</v>
      </c>
      <c r="I62" s="21"/>
      <c r="J62" s="21">
        <v>0</v>
      </c>
      <c r="K62" s="21">
        <v>0</v>
      </c>
      <c r="L62" s="22">
        <f t="shared" si="2"/>
        <v>0</v>
      </c>
    </row>
    <row r="63" spans="1:12" x14ac:dyDescent="0.25">
      <c r="A63" t="s">
        <v>1670</v>
      </c>
      <c r="B63" t="s">
        <v>430</v>
      </c>
      <c r="C63" s="22">
        <v>35</v>
      </c>
      <c r="D63" s="22">
        <v>35</v>
      </c>
      <c r="E63" s="22">
        <v>35</v>
      </c>
      <c r="F63" s="22">
        <v>35</v>
      </c>
      <c r="G63" s="22">
        <v>0</v>
      </c>
      <c r="H63" s="21">
        <v>0</v>
      </c>
      <c r="I63" s="21"/>
      <c r="J63" s="21">
        <v>0</v>
      </c>
      <c r="K63" s="21">
        <v>0</v>
      </c>
      <c r="L63" s="22">
        <f t="shared" si="2"/>
        <v>0</v>
      </c>
    </row>
    <row r="64" spans="1:12" x14ac:dyDescent="0.25">
      <c r="A64" t="s">
        <v>1671</v>
      </c>
      <c r="B64" t="s">
        <v>1672</v>
      </c>
      <c r="C64" s="22">
        <v>7545</v>
      </c>
      <c r="D64" s="22">
        <v>13613</v>
      </c>
      <c r="E64" s="22">
        <v>13763</v>
      </c>
      <c r="F64" s="22">
        <v>14333</v>
      </c>
      <c r="G64" s="22">
        <v>8441.25</v>
      </c>
      <c r="H64" s="21">
        <v>12000</v>
      </c>
      <c r="I64" s="21"/>
      <c r="J64" s="21">
        <v>15600</v>
      </c>
      <c r="K64" s="21">
        <v>0</v>
      </c>
      <c r="L64" s="22">
        <f t="shared" si="2"/>
        <v>15600</v>
      </c>
    </row>
    <row r="65" spans="1:12" x14ac:dyDescent="0.25">
      <c r="A65" t="s">
        <v>1673</v>
      </c>
      <c r="B65" t="s">
        <v>434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1">
        <v>0</v>
      </c>
      <c r="I65" s="21"/>
      <c r="J65" s="21">
        <v>0</v>
      </c>
      <c r="K65" s="21">
        <v>0</v>
      </c>
      <c r="L65" s="22">
        <f t="shared" si="2"/>
        <v>0</v>
      </c>
    </row>
    <row r="66" spans="1:12" x14ac:dyDescent="0.25">
      <c r="A66" t="s">
        <v>1674</v>
      </c>
      <c r="B66" t="s">
        <v>436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1">
        <v>0</v>
      </c>
      <c r="I66" s="21"/>
      <c r="J66" s="21">
        <v>0</v>
      </c>
      <c r="K66" s="21">
        <v>0</v>
      </c>
      <c r="L66" s="22">
        <f t="shared" si="2"/>
        <v>0</v>
      </c>
    </row>
    <row r="67" spans="1:12" x14ac:dyDescent="0.25">
      <c r="A67" t="s">
        <v>1675</v>
      </c>
      <c r="B67" t="s">
        <v>1676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1">
        <v>0</v>
      </c>
      <c r="I67" s="21"/>
      <c r="J67" s="21">
        <v>0</v>
      </c>
      <c r="K67" s="21">
        <v>0</v>
      </c>
      <c r="L67" s="22">
        <f t="shared" si="2"/>
        <v>0</v>
      </c>
    </row>
    <row r="68" spans="1:12" x14ac:dyDescent="0.25"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1:12" x14ac:dyDescent="0.25"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x14ac:dyDescent="0.25">
      <c r="A70" t="s">
        <v>109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x14ac:dyDescent="0.25">
      <c r="B71" t="s">
        <v>441</v>
      </c>
      <c r="C71" s="22">
        <f t="shared" ref="C71:H71" si="3">SUM(C55:C67)</f>
        <v>9151</v>
      </c>
      <c r="D71" s="22">
        <f t="shared" si="3"/>
        <v>15730</v>
      </c>
      <c r="E71" s="22">
        <f t="shared" si="3"/>
        <v>16052</v>
      </c>
      <c r="F71" s="22">
        <f t="shared" si="3"/>
        <v>16886</v>
      </c>
      <c r="G71" s="22">
        <f t="shared" si="3"/>
        <v>10393.290000000001</v>
      </c>
      <c r="H71" s="22">
        <f t="shared" si="3"/>
        <v>14171</v>
      </c>
      <c r="I71" s="22"/>
      <c r="J71" s="22">
        <f>SUM(J55:J67)</f>
        <v>17087.36</v>
      </c>
      <c r="K71" s="22">
        <f>SUM(K55:K67)</f>
        <v>0</v>
      </c>
      <c r="L71" s="22">
        <f>SUM(L55:L67)</f>
        <v>17087.36</v>
      </c>
    </row>
    <row r="72" spans="1:12" x14ac:dyDescent="0.25"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x14ac:dyDescent="0.25">
      <c r="A73" t="s">
        <v>478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x14ac:dyDescent="0.25">
      <c r="A74" t="s">
        <v>18</v>
      </c>
      <c r="B74" t="s">
        <v>21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x14ac:dyDescent="0.25">
      <c r="A75" t="s">
        <v>1677</v>
      </c>
      <c r="B75" t="s">
        <v>445</v>
      </c>
      <c r="C75" s="22">
        <v>3400</v>
      </c>
      <c r="D75" s="22">
        <v>3577</v>
      </c>
      <c r="E75" s="22">
        <v>3681</v>
      </c>
      <c r="F75" s="22">
        <v>4049</v>
      </c>
      <c r="G75" s="22">
        <v>3706.1</v>
      </c>
      <c r="H75" s="21">
        <v>3706</v>
      </c>
      <c r="I75" s="21"/>
      <c r="J75" s="21">
        <f>G75*10%+G75</f>
        <v>4076.71</v>
      </c>
      <c r="K75" s="21">
        <v>0</v>
      </c>
      <c r="L75" s="22">
        <f t="shared" ref="L75:L89" si="4">SUM(J75+K75)</f>
        <v>4076.71</v>
      </c>
    </row>
    <row r="76" spans="1:12" x14ac:dyDescent="0.25">
      <c r="A76" t="s">
        <v>1678</v>
      </c>
      <c r="B76" t="s">
        <v>449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1">
        <v>0</v>
      </c>
      <c r="I76" s="21"/>
      <c r="J76" s="21">
        <v>0</v>
      </c>
      <c r="K76" s="21">
        <v>0</v>
      </c>
      <c r="L76" s="22">
        <f t="shared" si="4"/>
        <v>0</v>
      </c>
    </row>
    <row r="77" spans="1:12" x14ac:dyDescent="0.25">
      <c r="A77" t="s">
        <v>1679</v>
      </c>
      <c r="B77" t="s">
        <v>453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1">
        <v>0</v>
      </c>
      <c r="I77" s="21"/>
      <c r="J77" s="21">
        <v>0</v>
      </c>
      <c r="K77" s="21">
        <v>0</v>
      </c>
      <c r="L77" s="22">
        <f t="shared" si="4"/>
        <v>0</v>
      </c>
    </row>
    <row r="78" spans="1:12" x14ac:dyDescent="0.25">
      <c r="A78" t="s">
        <v>1680</v>
      </c>
      <c r="B78" t="s">
        <v>710</v>
      </c>
      <c r="C78" s="22">
        <v>8933</v>
      </c>
      <c r="D78" s="22">
        <v>6855</v>
      </c>
      <c r="E78" s="22">
        <v>7684</v>
      </c>
      <c r="F78" s="22">
        <v>7000</v>
      </c>
      <c r="G78" s="22">
        <v>5236.1499999999996</v>
      </c>
      <c r="H78" s="21">
        <v>6900</v>
      </c>
      <c r="I78" s="21"/>
      <c r="J78" s="21">
        <v>7000</v>
      </c>
      <c r="K78" s="21">
        <v>0</v>
      </c>
      <c r="L78" s="22">
        <f t="shared" si="4"/>
        <v>7000</v>
      </c>
    </row>
    <row r="79" spans="1:12" x14ac:dyDescent="0.25">
      <c r="A79" t="s">
        <v>1681</v>
      </c>
      <c r="B79" t="s">
        <v>471</v>
      </c>
      <c r="C79" s="22">
        <v>3347</v>
      </c>
      <c r="D79" s="22">
        <v>2871</v>
      </c>
      <c r="E79" s="22">
        <v>2786</v>
      </c>
      <c r="F79" s="22">
        <v>3500</v>
      </c>
      <c r="G79" s="22">
        <v>2631.81</v>
      </c>
      <c r="H79" s="21">
        <v>2900</v>
      </c>
      <c r="I79" s="21"/>
      <c r="J79" s="21">
        <v>3200</v>
      </c>
      <c r="K79" s="21">
        <v>0</v>
      </c>
      <c r="L79" s="22">
        <f t="shared" si="4"/>
        <v>3200</v>
      </c>
    </row>
    <row r="80" spans="1:12" x14ac:dyDescent="0.25">
      <c r="A80" t="s">
        <v>1682</v>
      </c>
      <c r="B80" t="s">
        <v>1047</v>
      </c>
      <c r="C80" s="22">
        <v>5891</v>
      </c>
      <c r="D80" s="22">
        <v>7495</v>
      </c>
      <c r="E80" s="22">
        <v>8464</v>
      </c>
      <c r="F80" s="22">
        <v>8500</v>
      </c>
      <c r="G80" s="22">
        <v>6494.67</v>
      </c>
      <c r="H80" s="21">
        <v>7500</v>
      </c>
      <c r="I80" s="21"/>
      <c r="J80" s="21">
        <v>7750</v>
      </c>
      <c r="K80" s="21">
        <v>0</v>
      </c>
      <c r="L80" s="22">
        <f t="shared" si="4"/>
        <v>7750</v>
      </c>
    </row>
    <row r="81" spans="1:12" x14ac:dyDescent="0.25">
      <c r="A81" t="s">
        <v>1683</v>
      </c>
      <c r="B81" t="s">
        <v>1049</v>
      </c>
      <c r="C81" s="22">
        <v>551</v>
      </c>
      <c r="D81" s="22">
        <v>776</v>
      </c>
      <c r="E81" s="22">
        <v>1271</v>
      </c>
      <c r="F81" s="22">
        <v>2000</v>
      </c>
      <c r="G81" s="22">
        <v>746.22</v>
      </c>
      <c r="H81" s="21">
        <v>1000</v>
      </c>
      <c r="I81" s="21"/>
      <c r="J81" s="21">
        <v>1200</v>
      </c>
      <c r="K81" s="21">
        <v>0</v>
      </c>
      <c r="L81" s="22">
        <f t="shared" si="4"/>
        <v>1200</v>
      </c>
    </row>
    <row r="82" spans="1:12" x14ac:dyDescent="0.25">
      <c r="A82" t="s">
        <v>1684</v>
      </c>
      <c r="B82" t="s">
        <v>1051</v>
      </c>
      <c r="C82" s="22">
        <v>586</v>
      </c>
      <c r="D82" s="22">
        <v>781</v>
      </c>
      <c r="E82" s="22">
        <v>1233</v>
      </c>
      <c r="F82" s="22">
        <v>2000</v>
      </c>
      <c r="G82" s="22">
        <v>780.55</v>
      </c>
      <c r="H82" s="21">
        <v>1000</v>
      </c>
      <c r="I82" s="21"/>
      <c r="J82" s="21">
        <v>1200</v>
      </c>
      <c r="K82" s="21">
        <v>0</v>
      </c>
      <c r="L82" s="22">
        <f t="shared" si="4"/>
        <v>1200</v>
      </c>
    </row>
    <row r="83" spans="1:12" x14ac:dyDescent="0.25">
      <c r="A83" t="s">
        <v>1685</v>
      </c>
      <c r="B83" t="s">
        <v>473</v>
      </c>
      <c r="C83" s="22">
        <v>7046</v>
      </c>
      <c r="D83" s="22">
        <v>4749</v>
      </c>
      <c r="E83" s="22">
        <v>11003</v>
      </c>
      <c r="F83" s="22">
        <v>13000</v>
      </c>
      <c r="G83" s="22">
        <v>18068.27</v>
      </c>
      <c r="H83" s="21">
        <v>20000</v>
      </c>
      <c r="I83" s="21"/>
      <c r="J83" s="21">
        <v>13000</v>
      </c>
      <c r="K83" s="21">
        <v>0</v>
      </c>
      <c r="L83" s="22">
        <f t="shared" si="4"/>
        <v>13000</v>
      </c>
    </row>
    <row r="84" spans="1:12" x14ac:dyDescent="0.25">
      <c r="A84" t="s">
        <v>1686</v>
      </c>
      <c r="B84" t="s">
        <v>1687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1">
        <v>0</v>
      </c>
      <c r="I84" s="21"/>
      <c r="J84" s="21">
        <v>0</v>
      </c>
      <c r="K84" s="21">
        <v>0</v>
      </c>
      <c r="L84" s="22">
        <f t="shared" si="4"/>
        <v>0</v>
      </c>
    </row>
    <row r="85" spans="1:12" x14ac:dyDescent="0.25">
      <c r="A85" t="s">
        <v>1688</v>
      </c>
      <c r="B85" t="s">
        <v>368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1">
        <v>0</v>
      </c>
      <c r="I85" s="21"/>
      <c r="J85" s="21">
        <v>0</v>
      </c>
      <c r="K85" s="21">
        <v>0</v>
      </c>
      <c r="L85" s="22">
        <f t="shared" si="4"/>
        <v>0</v>
      </c>
    </row>
    <row r="86" spans="1:12" x14ac:dyDescent="0.25">
      <c r="A86" t="s">
        <v>1689</v>
      </c>
      <c r="B86" t="s">
        <v>1690</v>
      </c>
      <c r="C86" s="22">
        <v>155</v>
      </c>
      <c r="D86" s="22">
        <v>0</v>
      </c>
      <c r="E86" s="22">
        <v>722</v>
      </c>
      <c r="F86" s="22">
        <v>1000</v>
      </c>
      <c r="G86" s="22">
        <v>868.54</v>
      </c>
      <c r="H86" s="21">
        <v>1000</v>
      </c>
      <c r="I86" s="21"/>
      <c r="J86" s="21">
        <v>1000</v>
      </c>
      <c r="K86" s="21">
        <v>0</v>
      </c>
      <c r="L86" s="22">
        <f t="shared" si="4"/>
        <v>1000</v>
      </c>
    </row>
    <row r="87" spans="1:12" x14ac:dyDescent="0.25">
      <c r="A87" t="s">
        <v>1691</v>
      </c>
      <c r="B87" t="s">
        <v>360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1">
        <v>0</v>
      </c>
      <c r="I87" s="21"/>
      <c r="J87" s="21">
        <v>0</v>
      </c>
      <c r="K87" s="21">
        <v>0</v>
      </c>
      <c r="L87" s="22">
        <f t="shared" si="4"/>
        <v>0</v>
      </c>
    </row>
    <row r="88" spans="1:12" x14ac:dyDescent="0.25">
      <c r="A88" t="s">
        <v>1692</v>
      </c>
      <c r="B88" t="s">
        <v>475</v>
      </c>
      <c r="C88" s="22">
        <v>1999</v>
      </c>
      <c r="D88" s="22">
        <v>530</v>
      </c>
      <c r="E88" s="22">
        <v>925</v>
      </c>
      <c r="F88" s="22">
        <v>0</v>
      </c>
      <c r="G88" s="22">
        <v>52.5</v>
      </c>
      <c r="H88" s="21">
        <v>100</v>
      </c>
      <c r="I88" s="21"/>
      <c r="J88" s="21">
        <v>250</v>
      </c>
      <c r="K88" s="21">
        <v>0</v>
      </c>
      <c r="L88" s="22">
        <f t="shared" si="4"/>
        <v>250</v>
      </c>
    </row>
    <row r="89" spans="1:12" x14ac:dyDescent="0.25">
      <c r="A89" t="s">
        <v>1693</v>
      </c>
      <c r="B89" t="s">
        <v>762</v>
      </c>
      <c r="C89" s="22">
        <v>536</v>
      </c>
      <c r="D89" s="22">
        <v>318</v>
      </c>
      <c r="E89" s="22">
        <v>0</v>
      </c>
      <c r="F89" s="22">
        <v>500</v>
      </c>
      <c r="G89" s="22">
        <v>245.66</v>
      </c>
      <c r="H89" s="21">
        <v>500</v>
      </c>
      <c r="I89" s="21"/>
      <c r="J89" s="21">
        <v>250</v>
      </c>
      <c r="K89" s="21">
        <v>0</v>
      </c>
      <c r="L89" s="22">
        <f t="shared" si="4"/>
        <v>250</v>
      </c>
    </row>
    <row r="90" spans="1:12" x14ac:dyDescent="0.25"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1:12" x14ac:dyDescent="0.25"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1:12" x14ac:dyDescent="0.25">
      <c r="A92" t="s">
        <v>109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 spans="1:12" x14ac:dyDescent="0.25">
      <c r="B93" t="s">
        <v>478</v>
      </c>
      <c r="C93" s="22">
        <f t="shared" ref="C93:H93" si="5">SUM(C75:C89)</f>
        <v>32444</v>
      </c>
      <c r="D93" s="22">
        <f t="shared" si="5"/>
        <v>27952</v>
      </c>
      <c r="E93" s="22">
        <f t="shared" si="5"/>
        <v>37769</v>
      </c>
      <c r="F93" s="22">
        <f t="shared" si="5"/>
        <v>41549</v>
      </c>
      <c r="G93" s="22">
        <f t="shared" si="5"/>
        <v>38830.470000000008</v>
      </c>
      <c r="H93" s="22">
        <f t="shared" si="5"/>
        <v>44606</v>
      </c>
      <c r="I93" s="22"/>
      <c r="J93" s="22">
        <f>SUM(J75:J89)</f>
        <v>38926.71</v>
      </c>
      <c r="K93" s="22">
        <f>SUM(K75:K89)</f>
        <v>0</v>
      </c>
      <c r="L93" s="22">
        <f>SUM(L75:L89)</f>
        <v>38926.71</v>
      </c>
    </row>
    <row r="94" spans="1:12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1:12" x14ac:dyDescent="0.25">
      <c r="A95" t="s">
        <v>489</v>
      </c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1:12" x14ac:dyDescent="0.25">
      <c r="A96" t="s">
        <v>18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</row>
    <row r="97" spans="1:12" x14ac:dyDescent="0.25">
      <c r="A97" t="s">
        <v>1694</v>
      </c>
      <c r="B97" t="s">
        <v>489</v>
      </c>
      <c r="C97" s="22">
        <v>2126</v>
      </c>
      <c r="D97" s="22">
        <v>2708</v>
      </c>
      <c r="E97" s="22">
        <v>5133</v>
      </c>
      <c r="F97" s="22">
        <v>5000</v>
      </c>
      <c r="G97" s="22">
        <v>1072.6600000000001</v>
      </c>
      <c r="H97" s="21">
        <v>2500</v>
      </c>
      <c r="I97" s="21"/>
      <c r="J97" s="21">
        <v>3500</v>
      </c>
      <c r="K97" s="21">
        <v>0</v>
      </c>
      <c r="L97" s="22">
        <f t="shared" ref="L97:L100" si="6">SUM(J97+K97)</f>
        <v>3500</v>
      </c>
    </row>
    <row r="98" spans="1:12" x14ac:dyDescent="0.25">
      <c r="A98" t="s">
        <v>1695</v>
      </c>
      <c r="B98" t="s">
        <v>496</v>
      </c>
      <c r="C98" s="22">
        <v>365465</v>
      </c>
      <c r="D98" s="22">
        <v>196803</v>
      </c>
      <c r="E98" s="22">
        <v>214690</v>
      </c>
      <c r="F98" s="22">
        <v>261382</v>
      </c>
      <c r="G98" s="22">
        <v>199096.72</v>
      </c>
      <c r="H98" s="21">
        <v>230000</v>
      </c>
      <c r="I98" s="21"/>
      <c r="J98" s="21">
        <v>230000</v>
      </c>
      <c r="K98" s="21">
        <v>0</v>
      </c>
      <c r="L98" s="22">
        <f t="shared" si="6"/>
        <v>230000</v>
      </c>
    </row>
    <row r="99" spans="1:12" x14ac:dyDescent="0.25">
      <c r="A99" t="s">
        <v>1696</v>
      </c>
      <c r="B99" t="s">
        <v>498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1">
        <v>0</v>
      </c>
      <c r="I99" s="21"/>
      <c r="J99" s="21">
        <v>0</v>
      </c>
      <c r="K99" s="21">
        <v>0</v>
      </c>
      <c r="L99" s="22">
        <f t="shared" si="6"/>
        <v>0</v>
      </c>
    </row>
    <row r="100" spans="1:12" x14ac:dyDescent="0.25">
      <c r="A100" t="s">
        <v>1697</v>
      </c>
      <c r="B100" t="s">
        <v>500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1">
        <v>0</v>
      </c>
      <c r="I100" s="21"/>
      <c r="J100" s="21">
        <v>0</v>
      </c>
      <c r="K100" s="21">
        <v>0</v>
      </c>
      <c r="L100" s="22">
        <f t="shared" si="6"/>
        <v>0</v>
      </c>
    </row>
    <row r="101" spans="1:12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1:12" x14ac:dyDescent="0.25">
      <c r="A103" t="s">
        <v>109</v>
      </c>
      <c r="C103" s="22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1:12" x14ac:dyDescent="0.25">
      <c r="B104" t="s">
        <v>489</v>
      </c>
      <c r="C104" s="22">
        <f t="shared" ref="C104:H104" si="7">SUM(C97:C100)</f>
        <v>367591</v>
      </c>
      <c r="D104" s="22">
        <f t="shared" si="7"/>
        <v>199511</v>
      </c>
      <c r="E104" s="22">
        <f t="shared" si="7"/>
        <v>219823</v>
      </c>
      <c r="F104" s="22">
        <f t="shared" si="7"/>
        <v>266382</v>
      </c>
      <c r="G104" s="22">
        <f t="shared" si="7"/>
        <v>200169.38</v>
      </c>
      <c r="H104" s="22">
        <f t="shared" si="7"/>
        <v>232500</v>
      </c>
      <c r="I104" s="22"/>
      <c r="J104" s="22">
        <f>SUM(J97:J100)</f>
        <v>233500</v>
      </c>
      <c r="K104" s="22">
        <f>SUM(K97:K100)</f>
        <v>0</v>
      </c>
      <c r="L104" s="22">
        <f>SUM(L97:L100)</f>
        <v>233500</v>
      </c>
    </row>
    <row r="105" spans="1:12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1:12" x14ac:dyDescent="0.25">
      <c r="A106" t="s">
        <v>501</v>
      </c>
      <c r="C106" s="22"/>
      <c r="D106" s="22"/>
      <c r="E106" s="22"/>
      <c r="F106" s="22"/>
      <c r="G106" s="22"/>
      <c r="H106" s="22"/>
      <c r="I106" s="22"/>
      <c r="J106" s="22"/>
      <c r="K106" s="22"/>
      <c r="L106" s="22"/>
    </row>
    <row r="107" spans="1:12" x14ac:dyDescent="0.25">
      <c r="A107" t="s">
        <v>18</v>
      </c>
      <c r="C107" s="22"/>
      <c r="D107" s="22"/>
      <c r="E107" s="22"/>
      <c r="F107" s="22"/>
      <c r="G107" s="22"/>
      <c r="H107" s="22"/>
      <c r="I107" s="22"/>
      <c r="J107" s="22"/>
      <c r="K107" s="22"/>
      <c r="L107" s="22"/>
    </row>
    <row r="108" spans="1:12" x14ac:dyDescent="0.25">
      <c r="A108" t="s">
        <v>1698</v>
      </c>
      <c r="B108" t="s">
        <v>503</v>
      </c>
      <c r="C108" s="22">
        <v>20807</v>
      </c>
      <c r="D108" s="22">
        <v>25646</v>
      </c>
      <c r="E108" s="22">
        <v>32394</v>
      </c>
      <c r="F108" s="22">
        <v>20215</v>
      </c>
      <c r="G108" s="22">
        <v>23519</v>
      </c>
      <c r="H108" s="21">
        <v>24000</v>
      </c>
      <c r="I108" s="21"/>
      <c r="J108" s="21">
        <v>24000</v>
      </c>
      <c r="K108" s="21">
        <v>0</v>
      </c>
      <c r="L108" s="22">
        <f t="shared" ref="L108:L111" si="8">SUM(J108+K108)</f>
        <v>24000</v>
      </c>
    </row>
    <row r="109" spans="1:12" x14ac:dyDescent="0.25">
      <c r="A109" t="s">
        <v>1699</v>
      </c>
      <c r="B109" t="s">
        <v>973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1">
        <v>0</v>
      </c>
      <c r="I109" s="21"/>
      <c r="J109" s="21">
        <v>0</v>
      </c>
      <c r="K109" s="21">
        <v>0</v>
      </c>
      <c r="L109" s="22">
        <f t="shared" si="8"/>
        <v>0</v>
      </c>
    </row>
    <row r="110" spans="1:12" x14ac:dyDescent="0.25">
      <c r="A110" t="s">
        <v>1700</v>
      </c>
      <c r="B110" t="s">
        <v>519</v>
      </c>
      <c r="C110" s="22">
        <v>0</v>
      </c>
      <c r="D110" s="22">
        <v>120</v>
      </c>
      <c r="E110" s="22">
        <v>75</v>
      </c>
      <c r="F110" s="22">
        <v>300</v>
      </c>
      <c r="G110" s="22">
        <v>0</v>
      </c>
      <c r="H110" s="21">
        <v>0</v>
      </c>
      <c r="I110" s="21"/>
      <c r="J110" s="21">
        <v>0</v>
      </c>
      <c r="K110" s="21">
        <v>0</v>
      </c>
      <c r="L110" s="22">
        <f t="shared" si="8"/>
        <v>0</v>
      </c>
    </row>
    <row r="111" spans="1:12" x14ac:dyDescent="0.25">
      <c r="A111" t="s">
        <v>1701</v>
      </c>
      <c r="B111" t="s">
        <v>1702</v>
      </c>
      <c r="C111" s="22">
        <v>60812</v>
      </c>
      <c r="D111" s="22">
        <v>0</v>
      </c>
      <c r="E111" s="22">
        <v>0</v>
      </c>
      <c r="F111" s="22">
        <v>0</v>
      </c>
      <c r="G111" s="22">
        <v>0</v>
      </c>
      <c r="H111" s="21">
        <v>0</v>
      </c>
      <c r="I111" s="21"/>
      <c r="J111" s="21">
        <v>0</v>
      </c>
      <c r="K111" s="21">
        <v>0</v>
      </c>
      <c r="L111" s="22">
        <f t="shared" si="8"/>
        <v>0</v>
      </c>
    </row>
    <row r="112" spans="1:12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</row>
    <row r="113" spans="1:12" x14ac:dyDescent="0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</row>
    <row r="114" spans="1:12" x14ac:dyDescent="0.25">
      <c r="A114" t="s">
        <v>109</v>
      </c>
      <c r="C114" s="22"/>
      <c r="D114" s="22"/>
      <c r="E114" s="22"/>
      <c r="F114" s="22"/>
      <c r="G114" s="22"/>
      <c r="H114" s="22"/>
      <c r="I114" s="22"/>
      <c r="J114" s="22"/>
      <c r="K114" s="22"/>
      <c r="L114" s="22"/>
    </row>
    <row r="115" spans="1:12" x14ac:dyDescent="0.25">
      <c r="B115" t="s">
        <v>501</v>
      </c>
      <c r="C115" s="22">
        <f t="shared" ref="C115:H115" si="9">SUM(C108:C111)</f>
        <v>81619</v>
      </c>
      <c r="D115" s="22">
        <f t="shared" si="9"/>
        <v>25766</v>
      </c>
      <c r="E115" s="22">
        <f t="shared" si="9"/>
        <v>32469</v>
      </c>
      <c r="F115" s="22">
        <f t="shared" si="9"/>
        <v>20515</v>
      </c>
      <c r="G115" s="22">
        <f t="shared" si="9"/>
        <v>23519</v>
      </c>
      <c r="H115" s="22">
        <f t="shared" si="9"/>
        <v>24000</v>
      </c>
      <c r="I115" s="22"/>
      <c r="J115" s="22">
        <f>SUM(J108:J111)</f>
        <v>24000</v>
      </c>
      <c r="K115" s="22">
        <f>SUM(K108:K111)</f>
        <v>0</v>
      </c>
      <c r="L115" s="22">
        <f>SUM(L108:L111)</f>
        <v>24000</v>
      </c>
    </row>
    <row r="116" spans="1:12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</row>
    <row r="117" spans="1:12" x14ac:dyDescent="0.25">
      <c r="A117" t="s">
        <v>530</v>
      </c>
      <c r="C117" s="22"/>
      <c r="D117" s="22"/>
      <c r="E117" s="22"/>
      <c r="F117" s="22"/>
      <c r="G117" s="22"/>
      <c r="H117" s="22"/>
      <c r="I117" s="22"/>
      <c r="J117" s="22"/>
      <c r="K117" s="22"/>
      <c r="L117" s="22"/>
    </row>
    <row r="118" spans="1:12" x14ac:dyDescent="0.25">
      <c r="A118" t="s">
        <v>18</v>
      </c>
      <c r="B118" t="s">
        <v>526</v>
      </c>
      <c r="C118" s="22"/>
      <c r="D118" s="22"/>
      <c r="E118" s="22"/>
      <c r="F118" s="22"/>
      <c r="G118" s="22"/>
      <c r="H118" s="22"/>
      <c r="I118" s="22"/>
      <c r="J118" s="27"/>
      <c r="K118" s="22"/>
      <c r="L118" s="22"/>
    </row>
    <row r="119" spans="1:12" x14ac:dyDescent="0.25">
      <c r="A119" t="s">
        <v>1703</v>
      </c>
      <c r="B119" t="s">
        <v>530</v>
      </c>
      <c r="C119" s="22">
        <v>0</v>
      </c>
      <c r="D119" s="22">
        <v>0</v>
      </c>
      <c r="E119" s="22">
        <v>0</v>
      </c>
      <c r="F119" s="22">
        <v>35025</v>
      </c>
      <c r="G119" s="22">
        <v>35024.6</v>
      </c>
      <c r="H119" s="21">
        <v>35025</v>
      </c>
      <c r="I119" s="21"/>
      <c r="J119" s="24">
        <v>10000</v>
      </c>
      <c r="K119" s="21">
        <v>0</v>
      </c>
      <c r="L119" s="22">
        <f t="shared" ref="L119:L126" si="10">SUM(J119+K119)</f>
        <v>10000</v>
      </c>
    </row>
    <row r="120" spans="1:12" x14ac:dyDescent="0.25">
      <c r="B120" t="s">
        <v>3787</v>
      </c>
      <c r="C120" s="22"/>
      <c r="D120" s="22"/>
      <c r="E120" s="22"/>
      <c r="F120" s="22"/>
      <c r="G120" s="22"/>
      <c r="H120" s="21"/>
      <c r="I120" s="21"/>
      <c r="J120" s="24"/>
      <c r="K120" s="21"/>
      <c r="L120" s="22"/>
    </row>
    <row r="121" spans="1:12" x14ac:dyDescent="0.25">
      <c r="A121" t="s">
        <v>1704</v>
      </c>
      <c r="B121" t="s">
        <v>1660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1">
        <v>0</v>
      </c>
      <c r="I121" s="21"/>
      <c r="J121" s="21">
        <v>0</v>
      </c>
      <c r="K121" s="21">
        <v>0</v>
      </c>
      <c r="L121" s="22">
        <f t="shared" si="10"/>
        <v>0</v>
      </c>
    </row>
    <row r="122" spans="1:12" x14ac:dyDescent="0.25">
      <c r="A122" t="s">
        <v>1705</v>
      </c>
      <c r="B122" t="s">
        <v>1634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1">
        <v>0</v>
      </c>
      <c r="I122" s="21"/>
      <c r="J122" s="21">
        <v>0</v>
      </c>
      <c r="K122" s="21">
        <v>0</v>
      </c>
      <c r="L122" s="22">
        <f t="shared" si="10"/>
        <v>0</v>
      </c>
    </row>
    <row r="123" spans="1:12" x14ac:dyDescent="0.25">
      <c r="A123" t="s">
        <v>1706</v>
      </c>
      <c r="B123" t="s">
        <v>660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21">
        <v>0</v>
      </c>
      <c r="I123" s="21"/>
      <c r="J123" s="21">
        <v>0</v>
      </c>
      <c r="K123" s="21">
        <v>0</v>
      </c>
      <c r="L123" s="22">
        <f t="shared" si="10"/>
        <v>0</v>
      </c>
    </row>
    <row r="124" spans="1:12" x14ac:dyDescent="0.25">
      <c r="A124" t="s">
        <v>1707</v>
      </c>
      <c r="B124" t="s">
        <v>1708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21">
        <v>0</v>
      </c>
      <c r="I124" s="21"/>
      <c r="J124" s="21">
        <v>0</v>
      </c>
      <c r="K124" s="21">
        <v>0</v>
      </c>
      <c r="L124" s="22">
        <f t="shared" si="10"/>
        <v>0</v>
      </c>
    </row>
    <row r="125" spans="1:12" x14ac:dyDescent="0.25">
      <c r="A125" t="s">
        <v>1709</v>
      </c>
      <c r="B125" t="s">
        <v>1710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1">
        <v>0</v>
      </c>
      <c r="I125" s="21"/>
      <c r="J125" s="21">
        <v>0</v>
      </c>
      <c r="K125" s="21">
        <v>0</v>
      </c>
      <c r="L125" s="22">
        <f t="shared" si="10"/>
        <v>0</v>
      </c>
    </row>
    <row r="126" spans="1:12" x14ac:dyDescent="0.25">
      <c r="A126" t="s">
        <v>1711</v>
      </c>
      <c r="B126" t="s">
        <v>1712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1">
        <v>0</v>
      </c>
      <c r="I126" s="21"/>
      <c r="J126" s="21">
        <v>0</v>
      </c>
      <c r="K126" s="21">
        <v>0</v>
      </c>
      <c r="L126" s="22">
        <f t="shared" si="10"/>
        <v>0</v>
      </c>
    </row>
    <row r="127" spans="1:12" x14ac:dyDescent="0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</row>
    <row r="128" spans="1:12" x14ac:dyDescent="0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</row>
    <row r="129" spans="1:12" x14ac:dyDescent="0.25">
      <c r="A129" t="s">
        <v>109</v>
      </c>
      <c r="C129" s="22"/>
      <c r="D129" s="22"/>
      <c r="E129" s="22"/>
      <c r="F129" s="22"/>
      <c r="G129" s="22"/>
      <c r="H129" s="22"/>
      <c r="I129" s="22"/>
      <c r="J129" s="22"/>
      <c r="K129" s="22"/>
      <c r="L129" s="22"/>
    </row>
    <row r="130" spans="1:12" x14ac:dyDescent="0.25">
      <c r="B130" t="s">
        <v>530</v>
      </c>
      <c r="C130" s="22">
        <f t="shared" ref="C130:H130" si="11">SUM(C119:C126)</f>
        <v>0</v>
      </c>
      <c r="D130" s="22">
        <f t="shared" si="11"/>
        <v>0</v>
      </c>
      <c r="E130" s="22">
        <f t="shared" si="11"/>
        <v>0</v>
      </c>
      <c r="F130" s="22">
        <f t="shared" si="11"/>
        <v>35025</v>
      </c>
      <c r="G130" s="22">
        <f t="shared" si="11"/>
        <v>35024.6</v>
      </c>
      <c r="H130" s="22">
        <f t="shared" si="11"/>
        <v>35025</v>
      </c>
      <c r="I130" s="22"/>
      <c r="J130" s="22">
        <f>SUM(J119:J126)</f>
        <v>10000</v>
      </c>
      <c r="K130" s="22">
        <f>SUM(K119:K126)</f>
        <v>0</v>
      </c>
      <c r="L130" s="22">
        <f>SUM(L119:L126)</f>
        <v>10000</v>
      </c>
    </row>
    <row r="131" spans="1:12" x14ac:dyDescent="0.25">
      <c r="C131" s="22"/>
      <c r="D131" s="22"/>
      <c r="E131" s="22"/>
      <c r="F131" s="22"/>
      <c r="G131" s="22"/>
      <c r="H131" s="22"/>
      <c r="I131" s="22"/>
      <c r="J131" s="22"/>
      <c r="K131" s="22"/>
      <c r="L131" s="22"/>
    </row>
    <row r="132" spans="1:12" x14ac:dyDescent="0.25">
      <c r="C132" s="22"/>
      <c r="D132" s="22"/>
      <c r="E132" s="22"/>
      <c r="F132" s="22"/>
      <c r="G132" s="22"/>
      <c r="H132" s="22"/>
      <c r="I132" s="22"/>
      <c r="J132" s="22"/>
      <c r="K132" s="22"/>
      <c r="L132" s="22"/>
    </row>
    <row r="133" spans="1:12" x14ac:dyDescent="0.25">
      <c r="A133" t="s">
        <v>109</v>
      </c>
      <c r="C133" s="22"/>
      <c r="D133" s="22"/>
      <c r="E133" s="22"/>
      <c r="F133" s="22"/>
      <c r="G133" s="22"/>
      <c r="H133" s="22"/>
      <c r="I133" s="22"/>
      <c r="J133" s="22"/>
      <c r="K133" s="22"/>
      <c r="L133" s="22"/>
    </row>
    <row r="134" spans="1:12" x14ac:dyDescent="0.25">
      <c r="A134">
        <v>40</v>
      </c>
      <c r="B134" t="s">
        <v>3719</v>
      </c>
      <c r="C134" s="22">
        <f t="shared" ref="C134:H134" si="12">C71+C93+C104+C115+C130</f>
        <v>490805</v>
      </c>
      <c r="D134" s="22">
        <f t="shared" si="12"/>
        <v>268959</v>
      </c>
      <c r="E134" s="22">
        <f t="shared" si="12"/>
        <v>306113</v>
      </c>
      <c r="F134" s="22">
        <f t="shared" si="12"/>
        <v>380357</v>
      </c>
      <c r="G134" s="22">
        <f t="shared" si="12"/>
        <v>307936.74</v>
      </c>
      <c r="H134" s="22">
        <f t="shared" si="12"/>
        <v>350302</v>
      </c>
      <c r="I134" s="22"/>
      <c r="J134" s="22">
        <f>J71+J93+J104+J115+J130</f>
        <v>323514.07</v>
      </c>
      <c r="K134" s="22">
        <f>K71+K93+K104+K115+K130</f>
        <v>0</v>
      </c>
      <c r="L134" s="22">
        <f>L71+L93+L104+L115+L130</f>
        <v>323514.07</v>
      </c>
    </row>
    <row r="135" spans="1:12" x14ac:dyDescent="0.25">
      <c r="C135" s="22"/>
      <c r="D135" s="22"/>
      <c r="E135" s="22"/>
      <c r="F135" s="22"/>
      <c r="G135" s="22"/>
      <c r="H135" s="22"/>
      <c r="I135" s="22"/>
      <c r="J135" s="22"/>
      <c r="K135" s="22"/>
      <c r="L135" s="22"/>
    </row>
    <row r="136" spans="1:12" x14ac:dyDescent="0.25">
      <c r="C136" s="22"/>
      <c r="D136" s="22"/>
      <c r="E136" s="22"/>
      <c r="F136" s="22"/>
      <c r="G136" s="22"/>
      <c r="H136" s="22"/>
      <c r="I136" s="22"/>
      <c r="J136" s="22"/>
      <c r="K136" s="22"/>
      <c r="L136" s="22"/>
    </row>
    <row r="137" spans="1:12" x14ac:dyDescent="0.25">
      <c r="C137" s="22"/>
      <c r="D137" s="22"/>
      <c r="E137" s="22"/>
      <c r="F137" s="22"/>
      <c r="G137" s="22"/>
      <c r="H137" s="22"/>
      <c r="I137" s="22"/>
      <c r="J137" s="22"/>
      <c r="K137" s="22"/>
      <c r="L137" s="22"/>
    </row>
    <row r="138" spans="1:12" x14ac:dyDescent="0.25">
      <c r="A138" t="s">
        <v>3717</v>
      </c>
      <c r="C138" s="22">
        <f t="shared" ref="C138:H138" si="13">C134</f>
        <v>490805</v>
      </c>
      <c r="D138" s="22">
        <f t="shared" si="13"/>
        <v>268959</v>
      </c>
      <c r="E138" s="22">
        <f t="shared" si="13"/>
        <v>306113</v>
      </c>
      <c r="F138" s="22">
        <f t="shared" si="13"/>
        <v>380357</v>
      </c>
      <c r="G138" s="22">
        <f t="shared" si="13"/>
        <v>307936.74</v>
      </c>
      <c r="H138" s="22">
        <f t="shared" si="13"/>
        <v>350302</v>
      </c>
      <c r="I138" s="22"/>
      <c r="J138" s="22">
        <f>J134</f>
        <v>323514.07</v>
      </c>
      <c r="K138" s="22">
        <f>K134</f>
        <v>0</v>
      </c>
      <c r="L138" s="22">
        <f>L134</f>
        <v>323514.07</v>
      </c>
    </row>
    <row r="139" spans="1:12" x14ac:dyDescent="0.25">
      <c r="C139" s="22"/>
      <c r="D139" s="22"/>
      <c r="E139" s="22"/>
      <c r="F139" s="22"/>
      <c r="G139" s="22"/>
      <c r="H139" s="22"/>
      <c r="I139" s="22"/>
      <c r="J139" s="22"/>
      <c r="K139" s="22"/>
      <c r="L139" s="22"/>
    </row>
    <row r="140" spans="1:12" x14ac:dyDescent="0.25">
      <c r="A140" t="s">
        <v>3720</v>
      </c>
      <c r="C140" s="22">
        <f t="shared" ref="C140:H140" si="14">C34-C138</f>
        <v>-70682</v>
      </c>
      <c r="D140" s="22">
        <f t="shared" si="14"/>
        <v>446762</v>
      </c>
      <c r="E140" s="22">
        <f t="shared" si="14"/>
        <v>37371</v>
      </c>
      <c r="F140" s="22">
        <f t="shared" si="14"/>
        <v>-3</v>
      </c>
      <c r="G140" s="22">
        <f t="shared" si="14"/>
        <v>-61452.080000000016</v>
      </c>
      <c r="H140" s="22">
        <f t="shared" si="14"/>
        <v>-36592</v>
      </c>
      <c r="I140" s="22"/>
      <c r="J140" s="22">
        <f>J34-J138</f>
        <v>20285.929999999993</v>
      </c>
      <c r="K140" s="22">
        <f>K34-K138</f>
        <v>0</v>
      </c>
      <c r="L140" s="22">
        <f>L34-L138</f>
        <v>20285.929999999993</v>
      </c>
    </row>
    <row r="141" spans="1:12" x14ac:dyDescent="0.25">
      <c r="C141" s="25"/>
      <c r="D141" s="25"/>
      <c r="E141" s="25"/>
      <c r="F141" s="25"/>
      <c r="G141" s="25"/>
      <c r="H141" s="25"/>
      <c r="I141" s="25"/>
      <c r="J141" s="25"/>
      <c r="K141" s="25"/>
      <c r="L141" s="25"/>
    </row>
    <row r="142" spans="1:12" x14ac:dyDescent="0.25">
      <c r="C142" s="25"/>
      <c r="D142" s="25"/>
      <c r="E142" s="25"/>
      <c r="F142" s="25"/>
      <c r="G142" s="25"/>
      <c r="H142" s="25"/>
      <c r="I142" s="25"/>
      <c r="J142" s="25"/>
      <c r="K142" s="25"/>
      <c r="L142" s="25"/>
    </row>
  </sheetData>
  <sheetProtection algorithmName="SHA-512" hashValue="evkT492Uh5Mn+JuvkQWX6aBnxfN+3ljHRKL/AQej0hZzsG5YnlW2NFqr3Y873BhBywAoq0uyhic6KApr+ACc1Q==" saltValue="TldWpQSGx5r08TQb7gVxFg==" spinCount="100000" sheet="1" insertRows="0"/>
  <pageMargins left="0.25" right="0.25" top="0.75" bottom="0.75" header="0.3" footer="0.3"/>
  <pageSetup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6857-EA62-4236-883C-37E062941D9B}">
  <dimension ref="A1:K455"/>
  <sheetViews>
    <sheetView workbookViewId="0">
      <selection activeCell="I16" sqref="I16"/>
    </sheetView>
  </sheetViews>
  <sheetFormatPr defaultRowHeight="15" x14ac:dyDescent="0.25"/>
  <cols>
    <col min="1" max="1" width="35.42578125" bestFit="1" customWidth="1"/>
    <col min="2" max="2" width="13.42578125" bestFit="1" customWidth="1"/>
    <col min="3" max="3" width="14.85546875" bestFit="1" customWidth="1"/>
    <col min="4" max="4" width="14" customWidth="1"/>
    <col min="5" max="5" width="14" bestFit="1" customWidth="1"/>
    <col min="6" max="6" width="14.42578125" customWidth="1"/>
    <col min="7" max="7" width="14.28515625" bestFit="1" customWidth="1"/>
    <col min="9" max="9" width="13.5703125" customWidth="1"/>
    <col min="10" max="10" width="14.5703125" bestFit="1" customWidth="1"/>
    <col min="11" max="11" width="14" bestFit="1" customWidth="1"/>
  </cols>
  <sheetData>
    <row r="1" spans="1:11" s="33" customFormat="1" x14ac:dyDescent="0.25">
      <c r="A1" s="32" t="s">
        <v>3409</v>
      </c>
      <c r="I1" s="34"/>
      <c r="J1" s="34"/>
    </row>
    <row r="2" spans="1:11" s="33" customFormat="1" x14ac:dyDescent="0.25">
      <c r="A2" s="35"/>
      <c r="B2" s="36"/>
      <c r="E2" s="36"/>
      <c r="F2" s="36"/>
      <c r="I2" s="34"/>
      <c r="J2" s="34"/>
    </row>
    <row r="3" spans="1:11" s="33" customFormat="1" x14ac:dyDescent="0.25">
      <c r="E3" s="37" t="s">
        <v>2</v>
      </c>
      <c r="F3" s="38" t="s">
        <v>3410</v>
      </c>
      <c r="G3" s="33" t="s">
        <v>4</v>
      </c>
      <c r="I3" s="37" t="s">
        <v>3411</v>
      </c>
      <c r="J3" s="38" t="s">
        <v>3412</v>
      </c>
      <c r="K3" s="39" t="s">
        <v>3413</v>
      </c>
    </row>
    <row r="4" spans="1:11" s="33" customFormat="1" x14ac:dyDescent="0.25">
      <c r="B4" s="38" t="s">
        <v>7</v>
      </c>
      <c r="C4" s="38" t="s">
        <v>8</v>
      </c>
      <c r="D4" s="38" t="s">
        <v>9</v>
      </c>
      <c r="E4" s="38" t="s">
        <v>10</v>
      </c>
      <c r="F4" s="38" t="s">
        <v>11</v>
      </c>
      <c r="G4" s="38" t="s">
        <v>12</v>
      </c>
      <c r="H4" s="38"/>
      <c r="I4" s="38" t="s">
        <v>3414</v>
      </c>
      <c r="J4" s="38" t="s">
        <v>3415</v>
      </c>
      <c r="K4" s="38" t="s">
        <v>3416</v>
      </c>
    </row>
    <row r="5" spans="1:11" s="33" customFormat="1" x14ac:dyDescent="0.25">
      <c r="B5" s="38" t="s">
        <v>15</v>
      </c>
      <c r="C5" s="38" t="s">
        <v>15</v>
      </c>
      <c r="D5" s="38" t="s">
        <v>15</v>
      </c>
      <c r="E5" s="38" t="s">
        <v>16</v>
      </c>
      <c r="F5" s="40">
        <v>45889</v>
      </c>
      <c r="G5" s="38" t="s">
        <v>17</v>
      </c>
      <c r="H5" s="38"/>
      <c r="I5" s="38" t="s">
        <v>13</v>
      </c>
      <c r="J5" s="38" t="s">
        <v>3417</v>
      </c>
      <c r="K5" s="38" t="s">
        <v>13</v>
      </c>
    </row>
    <row r="6" spans="1:11" s="33" customFormat="1" x14ac:dyDescent="0.25">
      <c r="A6" t="s">
        <v>19</v>
      </c>
      <c r="B6" s="33" t="s">
        <v>20</v>
      </c>
      <c r="C6" s="33" t="s">
        <v>21</v>
      </c>
      <c r="D6" s="33" t="s">
        <v>22</v>
      </c>
      <c r="E6" s="33" t="s">
        <v>23</v>
      </c>
      <c r="F6" s="33" t="s">
        <v>24</v>
      </c>
      <c r="G6" s="33" t="s">
        <v>20</v>
      </c>
      <c r="I6" s="33" t="s">
        <v>24</v>
      </c>
      <c r="J6" s="33" t="s">
        <v>20</v>
      </c>
      <c r="K6" s="33" t="s">
        <v>20</v>
      </c>
    </row>
    <row r="7" spans="1:11" s="33" customFormat="1" x14ac:dyDescent="0.25">
      <c r="A7" s="36"/>
      <c r="B7" s="41"/>
      <c r="C7" s="41"/>
      <c r="D7" s="41"/>
      <c r="E7" s="41"/>
      <c r="F7" s="41"/>
      <c r="G7" s="38"/>
      <c r="H7" s="41"/>
      <c r="I7" s="41"/>
      <c r="J7" s="41"/>
    </row>
    <row r="8" spans="1:11" s="33" customFormat="1" x14ac:dyDescent="0.25">
      <c r="B8" s="41"/>
      <c r="C8" s="41"/>
      <c r="D8" s="41"/>
      <c r="E8" s="42"/>
      <c r="F8" s="41"/>
      <c r="G8" s="38"/>
      <c r="H8" s="41"/>
      <c r="I8" s="41"/>
      <c r="J8" s="41"/>
    </row>
    <row r="9" spans="1:11" s="33" customFormat="1" x14ac:dyDescent="0.25">
      <c r="B9" s="41"/>
      <c r="C9" s="41"/>
      <c r="D9" s="41"/>
      <c r="E9" s="42"/>
      <c r="F9" s="41"/>
      <c r="G9" s="38"/>
      <c r="H9" s="41"/>
      <c r="I9" s="41"/>
      <c r="J9" s="41"/>
    </row>
    <row r="10" spans="1:11" s="33" customFormat="1" ht="21" x14ac:dyDescent="0.35">
      <c r="B10" s="43"/>
      <c r="C10" s="44"/>
      <c r="D10" s="70"/>
      <c r="E10" s="72" t="s">
        <v>3783</v>
      </c>
      <c r="F10" s="45"/>
      <c r="G10" s="46"/>
      <c r="H10" s="45"/>
      <c r="I10" s="45"/>
      <c r="J10" s="45"/>
    </row>
    <row r="11" spans="1:11" s="33" customFormat="1" x14ac:dyDescent="0.25">
      <c r="B11" s="47"/>
      <c r="E11" s="47"/>
      <c r="F11" s="47"/>
      <c r="I11" s="48"/>
      <c r="J11" s="48"/>
    </row>
    <row r="12" spans="1:11" s="33" customFormat="1" x14ac:dyDescent="0.25">
      <c r="A12" s="49" t="s">
        <v>3418</v>
      </c>
      <c r="C12" s="50" t="s">
        <v>3419</v>
      </c>
      <c r="D12" s="50"/>
      <c r="H12" s="50"/>
      <c r="I12" s="48"/>
      <c r="J12" s="48"/>
    </row>
    <row r="13" spans="1:11" s="33" customFormat="1" x14ac:dyDescent="0.25">
      <c r="A13" s="49"/>
      <c r="B13" s="51"/>
      <c r="C13" s="50"/>
      <c r="D13" s="50"/>
      <c r="E13" s="51"/>
      <c r="F13" s="51"/>
      <c r="H13" s="50"/>
      <c r="I13" s="48"/>
      <c r="J13" s="48"/>
    </row>
    <row r="14" spans="1:11" s="33" customFormat="1" x14ac:dyDescent="0.25">
      <c r="A14" s="39" t="s">
        <v>3420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/>
      <c r="I14" s="51">
        <v>0</v>
      </c>
      <c r="J14" s="51">
        <v>0</v>
      </c>
      <c r="K14" s="52">
        <v>0</v>
      </c>
    </row>
    <row r="15" spans="1:11" s="33" customFormat="1" x14ac:dyDescent="0.25">
      <c r="B15" s="53"/>
      <c r="E15" s="53"/>
      <c r="F15" s="53"/>
      <c r="G15" s="54"/>
      <c r="I15" s="48"/>
      <c r="J15" s="48"/>
    </row>
    <row r="16" spans="1:11" s="33" customFormat="1" x14ac:dyDescent="0.25">
      <c r="A16" s="55" t="s">
        <v>3421</v>
      </c>
      <c r="B16" s="51">
        <f>('General Fund Revenue'!C238)-B18</f>
        <v>11074039</v>
      </c>
      <c r="C16" s="51">
        <f>('General Fund Revenue'!D238)-C18</f>
        <v>12480985</v>
      </c>
      <c r="D16" s="51">
        <f>('General Fund Revenue'!E238)-D18</f>
        <v>14476579</v>
      </c>
      <c r="E16" s="51">
        <f>('General Fund Revenue'!F238)-E18</f>
        <v>12079859</v>
      </c>
      <c r="F16" s="51">
        <f>('General Fund Revenue'!G238)-F18</f>
        <v>10479783.030000001</v>
      </c>
      <c r="G16" s="51">
        <f>('General Fund Revenue'!H238)-G18</f>
        <v>11542166</v>
      </c>
      <c r="H16" s="51"/>
      <c r="I16" s="51">
        <f>('General Fund Revenue'!J238)-I18</f>
        <v>11843495</v>
      </c>
      <c r="J16" s="51">
        <f>('General Fund Revenue'!K238)-J18</f>
        <v>0</v>
      </c>
      <c r="K16" s="51">
        <f>('General Fund Revenue'!L238)-K18</f>
        <v>11843495</v>
      </c>
    </row>
    <row r="17" spans="1:11" s="33" customFormat="1" x14ac:dyDescent="0.25">
      <c r="B17" s="51"/>
      <c r="C17" s="51"/>
      <c r="D17" s="51"/>
      <c r="E17" s="51"/>
      <c r="F17" s="51"/>
      <c r="G17" s="51"/>
      <c r="H17" s="51"/>
      <c r="I17" s="48"/>
      <c r="J17" s="48"/>
    </row>
    <row r="18" spans="1:11" s="33" customFormat="1" x14ac:dyDescent="0.25">
      <c r="A18" s="55" t="s">
        <v>3422</v>
      </c>
      <c r="B18" s="51">
        <f>'General Fund Revenue'!C45</f>
        <v>1600000</v>
      </c>
      <c r="C18" s="51">
        <f>'General Fund Revenue'!D45</f>
        <v>2059643</v>
      </c>
      <c r="D18" s="51">
        <f>'General Fund Revenue'!E45</f>
        <v>2059643</v>
      </c>
      <c r="E18" s="51">
        <f>'General Fund Revenue'!F45</f>
        <v>3643573</v>
      </c>
      <c r="F18" s="51">
        <f>'General Fund Revenue'!G45</f>
        <v>1544732.28</v>
      </c>
      <c r="G18" s="51">
        <f>'General Fund Revenue'!H45</f>
        <v>3643573</v>
      </c>
      <c r="H18" s="51"/>
      <c r="I18" s="51">
        <f>'General Fund Revenue'!J45</f>
        <v>3643573</v>
      </c>
      <c r="J18" s="51">
        <f>'General Fund Revenue'!K45</f>
        <v>0</v>
      </c>
      <c r="K18" s="51">
        <f>'General Fund Revenue'!L45</f>
        <v>3643573</v>
      </c>
    </row>
    <row r="19" spans="1:11" s="33" customFormat="1" x14ac:dyDescent="0.25">
      <c r="B19" s="51"/>
      <c r="C19" s="51"/>
      <c r="D19" s="51"/>
      <c r="E19" s="51"/>
      <c r="F19" s="51"/>
      <c r="G19" s="51"/>
      <c r="H19" s="51"/>
      <c r="I19" s="48"/>
      <c r="J19" s="48"/>
    </row>
    <row r="20" spans="1:11" s="33" customFormat="1" x14ac:dyDescent="0.25">
      <c r="A20" s="55" t="s">
        <v>3423</v>
      </c>
      <c r="B20" s="51"/>
      <c r="C20" s="51"/>
      <c r="D20" s="51"/>
      <c r="E20" s="51"/>
      <c r="F20" s="51"/>
      <c r="G20" s="51"/>
      <c r="H20" s="51"/>
      <c r="I20" s="48"/>
      <c r="J20" s="48"/>
    </row>
    <row r="21" spans="1:11" s="33" customFormat="1" x14ac:dyDescent="0.25">
      <c r="B21" s="51"/>
      <c r="C21" s="51"/>
      <c r="D21" s="51"/>
      <c r="E21" s="51"/>
      <c r="F21" s="51"/>
      <c r="G21" s="51"/>
      <c r="H21" s="51"/>
      <c r="I21" s="48"/>
      <c r="J21" s="48"/>
    </row>
    <row r="22" spans="1:11" s="33" customFormat="1" x14ac:dyDescent="0.25">
      <c r="A22" s="33" t="s">
        <v>3424</v>
      </c>
      <c r="B22" s="51">
        <f>Admin!C112</f>
        <v>292410</v>
      </c>
      <c r="C22" s="51">
        <f>Admin!D112</f>
        <v>495339</v>
      </c>
      <c r="D22" s="51">
        <f>Admin!E112</f>
        <v>410794</v>
      </c>
      <c r="E22" s="51">
        <f>Admin!F112</f>
        <v>420027</v>
      </c>
      <c r="F22" s="51">
        <f>Admin!G112</f>
        <v>449523.93</v>
      </c>
      <c r="G22" s="51">
        <f>Admin!H112</f>
        <v>385082</v>
      </c>
      <c r="H22" s="51"/>
      <c r="I22" s="51">
        <f>Admin!J112</f>
        <v>321829.56</v>
      </c>
      <c r="J22" s="51">
        <f>Admin!K112</f>
        <v>0</v>
      </c>
      <c r="K22" s="51">
        <f>Admin!L112</f>
        <v>321829.56</v>
      </c>
    </row>
    <row r="23" spans="1:11" s="33" customFormat="1" x14ac:dyDescent="0.25">
      <c r="A23" s="33" t="s">
        <v>3425</v>
      </c>
      <c r="B23" s="51">
        <f>'Non Departmental'!C73</f>
        <v>148851</v>
      </c>
      <c r="C23" s="51">
        <f>'Non Departmental'!D73</f>
        <v>231610</v>
      </c>
      <c r="D23" s="51">
        <f>'Non Departmental'!E73</f>
        <v>367357</v>
      </c>
      <c r="E23" s="51">
        <f>'Non Departmental'!F73</f>
        <v>885796</v>
      </c>
      <c r="F23" s="51">
        <f>'Non Departmental'!G73</f>
        <v>301146.31</v>
      </c>
      <c r="G23" s="51">
        <f>'Non Departmental'!H73</f>
        <v>337986</v>
      </c>
      <c r="H23" s="51"/>
      <c r="I23" s="51">
        <f>'Non Departmental'!J73</f>
        <v>138250</v>
      </c>
      <c r="J23" s="51">
        <f>'Non Departmental'!K73</f>
        <v>40350</v>
      </c>
      <c r="K23" s="51">
        <f>'Non Departmental'!L73</f>
        <v>178600</v>
      </c>
    </row>
    <row r="24" spans="1:11" s="33" customFormat="1" x14ac:dyDescent="0.25">
      <c r="A24" s="33" t="s">
        <v>3426</v>
      </c>
      <c r="B24" s="51">
        <f>'Development Service'!C116</f>
        <v>887058</v>
      </c>
      <c r="C24" s="51">
        <f>'Development Service'!D116</f>
        <v>1038672</v>
      </c>
      <c r="D24" s="51">
        <f>'Development Service'!E116</f>
        <v>1056120</v>
      </c>
      <c r="E24" s="51">
        <f>'Development Service'!F116-'Development Service'!F112</f>
        <v>1192088</v>
      </c>
      <c r="F24" s="51">
        <f>'Development Service'!G116-'Development Service'!G112</f>
        <v>768552.20999999985</v>
      </c>
      <c r="G24" s="51">
        <f>'Development Service'!H116-'Development Service'!H112</f>
        <v>877730.06</v>
      </c>
      <c r="H24" s="51"/>
      <c r="I24" s="51">
        <f>'Development Service'!J116-'Development Service'!J112</f>
        <v>820639.08700000006</v>
      </c>
      <c r="J24" s="51">
        <f>'Development Service'!K116-'Development Service'!K112</f>
        <v>0</v>
      </c>
      <c r="K24" s="51">
        <f>'Development Service'!L116-'Development Service'!L112</f>
        <v>820639.08700000006</v>
      </c>
    </row>
    <row r="25" spans="1:11" s="33" customFormat="1" x14ac:dyDescent="0.25">
      <c r="A25" s="33" t="s">
        <v>3427</v>
      </c>
      <c r="B25" s="51">
        <f>Finance!C97</f>
        <v>297441</v>
      </c>
      <c r="C25" s="51">
        <f>Finance!D97</f>
        <v>412206</v>
      </c>
      <c r="D25" s="51">
        <f>Finance!E97</f>
        <v>693094</v>
      </c>
      <c r="E25" s="51">
        <f>Finance!F97</f>
        <v>675039</v>
      </c>
      <c r="F25" s="51">
        <f>Finance!G97</f>
        <v>373678.92999999993</v>
      </c>
      <c r="G25" s="51">
        <f>Finance!H97</f>
        <v>466538</v>
      </c>
      <c r="H25" s="51"/>
      <c r="I25" s="51">
        <f>Finance!J97</f>
        <v>524300.21200000006</v>
      </c>
      <c r="J25" s="51">
        <f>Finance!K97</f>
        <v>0</v>
      </c>
      <c r="K25" s="51">
        <f>Finance!L97</f>
        <v>478540.212</v>
      </c>
    </row>
    <row r="26" spans="1:11" s="33" customFormat="1" x14ac:dyDescent="0.25">
      <c r="A26" s="33" t="s">
        <v>3428</v>
      </c>
      <c r="B26" s="51">
        <f>HR!C97</f>
        <v>154903</v>
      </c>
      <c r="C26" s="51">
        <f>HR!D97</f>
        <v>168185</v>
      </c>
      <c r="D26" s="51">
        <f>HR!E97</f>
        <v>172100</v>
      </c>
      <c r="E26" s="51">
        <f>HR!F97</f>
        <v>202444</v>
      </c>
      <c r="F26" s="51">
        <f>HR!G97</f>
        <v>131694.42000000001</v>
      </c>
      <c r="G26" s="51">
        <f>HR!H97</f>
        <v>167678.35999999999</v>
      </c>
      <c r="H26" s="51"/>
      <c r="I26" s="51">
        <f>HR!J97</f>
        <v>204224.32600000003</v>
      </c>
      <c r="J26" s="51">
        <f>HR!K97</f>
        <v>0</v>
      </c>
      <c r="K26" s="51">
        <f>HR!L97</f>
        <v>204224.32600000003</v>
      </c>
    </row>
    <row r="27" spans="1:11" s="33" customFormat="1" x14ac:dyDescent="0.25">
      <c r="A27" s="33" t="s">
        <v>3429</v>
      </c>
      <c r="B27" s="51">
        <f>Court!C91</f>
        <v>174735</v>
      </c>
      <c r="C27" s="51">
        <f>Court!D91</f>
        <v>196093</v>
      </c>
      <c r="D27" s="51">
        <f>Court!E91</f>
        <v>185132</v>
      </c>
      <c r="E27" s="51">
        <f>Court!F91</f>
        <v>232507</v>
      </c>
      <c r="F27" s="51">
        <f>Court!G91</f>
        <v>172377.15000000005</v>
      </c>
      <c r="G27" s="51">
        <f>Court!H91</f>
        <v>223808</v>
      </c>
      <c r="H27" s="51"/>
      <c r="I27" s="51">
        <f>Court!J91</f>
        <v>229029.00599999999</v>
      </c>
      <c r="J27" s="51">
        <f>Court!K91</f>
        <v>0</v>
      </c>
      <c r="K27" s="51">
        <f>Court!L91</f>
        <v>229029.00599999999</v>
      </c>
    </row>
    <row r="28" spans="1:11" s="33" customFormat="1" x14ac:dyDescent="0.25">
      <c r="A28" s="33" t="s">
        <v>3430</v>
      </c>
      <c r="B28" s="51">
        <f>'City Secretary'!C77</f>
        <v>121026</v>
      </c>
      <c r="C28" s="51">
        <f>'City Secretary'!D77</f>
        <v>118461</v>
      </c>
      <c r="D28" s="51">
        <f>'City Secretary'!E77</f>
        <v>154175</v>
      </c>
      <c r="E28" s="51">
        <f>'City Secretary'!F77</f>
        <v>150634</v>
      </c>
      <c r="F28" s="51">
        <f>'City Secretary'!G77</f>
        <v>182703.03000000003</v>
      </c>
      <c r="G28" s="51">
        <f>'City Secretary'!H77</f>
        <v>201527</v>
      </c>
      <c r="H28" s="51"/>
      <c r="I28" s="51">
        <f>'City Secretary'!J77</f>
        <v>177197.37599999999</v>
      </c>
      <c r="J28" s="51">
        <f>'City Secretary'!K77</f>
        <v>0</v>
      </c>
      <c r="K28" s="51">
        <f>'City Secretary'!L77</f>
        <v>177197.37599999999</v>
      </c>
    </row>
    <row r="29" spans="1:11" s="33" customFormat="1" x14ac:dyDescent="0.25">
      <c r="A29" s="33" t="s">
        <v>3431</v>
      </c>
      <c r="B29" s="51">
        <f>'Economic Development'!C112</f>
        <v>285913</v>
      </c>
      <c r="C29" s="51">
        <f>'Economic Development'!D112</f>
        <v>256923</v>
      </c>
      <c r="D29" s="51">
        <f>'Economic Development'!E112</f>
        <v>254570</v>
      </c>
      <c r="E29" s="51">
        <f>'Economic Development'!F112</f>
        <v>348326</v>
      </c>
      <c r="F29" s="51">
        <f>'Economic Development'!G112</f>
        <v>260513.57</v>
      </c>
      <c r="G29" s="51">
        <f>'Economic Development'!H112</f>
        <v>301366.62</v>
      </c>
      <c r="H29" s="51"/>
      <c r="I29" s="51">
        <f>'Economic Development'!J112</f>
        <v>381495.82299999997</v>
      </c>
      <c r="J29" s="51">
        <f>'Economic Development'!K112</f>
        <v>5000</v>
      </c>
      <c r="K29" s="51">
        <f>'Economic Development'!L112</f>
        <v>386495.82299999997</v>
      </c>
    </row>
    <row r="30" spans="1:11" s="33" customFormat="1" x14ac:dyDescent="0.25">
      <c r="A30" s="33" t="s">
        <v>3432</v>
      </c>
      <c r="B30" s="51">
        <f>Legal!C95</f>
        <v>209267</v>
      </c>
      <c r="C30" s="51">
        <f>Legal!D95</f>
        <v>427268</v>
      </c>
      <c r="D30" s="51">
        <f>Legal!E95</f>
        <v>474430</v>
      </c>
      <c r="E30" s="51">
        <f>Legal!F95</f>
        <v>405000</v>
      </c>
      <c r="F30" s="51">
        <f>Legal!G95</f>
        <v>328524.51</v>
      </c>
      <c r="G30" s="51">
        <f>Legal!H95</f>
        <v>405000</v>
      </c>
      <c r="H30" s="51"/>
      <c r="I30" s="51">
        <f>Legal!J95</f>
        <v>450000</v>
      </c>
      <c r="J30" s="51">
        <f>Legal!K95</f>
        <v>0</v>
      </c>
      <c r="K30" s="51">
        <f>Legal!L95</f>
        <v>450000</v>
      </c>
    </row>
    <row r="31" spans="1:11" s="33" customFormat="1" x14ac:dyDescent="0.25">
      <c r="A31" s="33" t="s">
        <v>3433</v>
      </c>
      <c r="B31" s="51">
        <f>'Police Department'!C170</f>
        <v>2206657</v>
      </c>
      <c r="C31" s="51">
        <f>'Police Department'!D170</f>
        <v>2833629</v>
      </c>
      <c r="D31" s="51">
        <f>'Police Department'!E170</f>
        <v>3028028</v>
      </c>
      <c r="E31" s="51">
        <f>'Police Department'!F170-'Police Department'!F166</f>
        <v>3635883</v>
      </c>
      <c r="F31" s="51">
        <f>'Police Department'!G170-'Police Department'!G166</f>
        <v>2709103.09</v>
      </c>
      <c r="G31" s="51">
        <f>'Police Department'!H170-'Police Department'!H166</f>
        <v>3108090</v>
      </c>
      <c r="H31" s="51"/>
      <c r="I31" s="51">
        <f>'Police Department'!J170-'Police Department'!J166</f>
        <v>3346088.7690000003</v>
      </c>
      <c r="J31" s="51">
        <f>'Police Department'!K170-'Police Department'!K166</f>
        <v>146702.76</v>
      </c>
      <c r="K31" s="51">
        <f>'Police Department'!L170-'Police Department'!L166</f>
        <v>3492791.5290000001</v>
      </c>
    </row>
    <row r="32" spans="1:11" s="33" customFormat="1" x14ac:dyDescent="0.25">
      <c r="A32" s="33" t="s">
        <v>3434</v>
      </c>
      <c r="B32" s="51">
        <f>'Code Enforcement'!C99</f>
        <v>0</v>
      </c>
      <c r="C32" s="51">
        <f>'Code Enforcement'!D99</f>
        <v>0</v>
      </c>
      <c r="D32" s="51">
        <f>'Code Enforcement'!E99</f>
        <v>0</v>
      </c>
      <c r="E32" s="51">
        <f>'Code Enforcement'!F99</f>
        <v>243714</v>
      </c>
      <c r="F32" s="51">
        <f>'Code Enforcement'!G99</f>
        <v>180073.36999999997</v>
      </c>
      <c r="G32" s="51">
        <f>'Code Enforcement'!H99</f>
        <v>200834</v>
      </c>
      <c r="H32" s="51"/>
      <c r="I32" s="51">
        <f>'Code Enforcement'!J99</f>
        <v>215095.29800000001</v>
      </c>
      <c r="J32" s="51">
        <f>'Code Enforcement'!K99</f>
        <v>5000</v>
      </c>
      <c r="K32" s="51">
        <f>'Code Enforcement'!L99</f>
        <v>220095.29800000001</v>
      </c>
    </row>
    <row r="33" spans="1:11" s="33" customFormat="1" x14ac:dyDescent="0.25">
      <c r="A33" s="33" t="s">
        <v>3435</v>
      </c>
      <c r="B33" s="51">
        <f>Dispatch!C94</f>
        <v>372680</v>
      </c>
      <c r="C33" s="51">
        <f>Dispatch!D94</f>
        <v>508121</v>
      </c>
      <c r="D33" s="51">
        <f>Dispatch!E94</f>
        <v>475522</v>
      </c>
      <c r="E33" s="51">
        <f>Dispatch!F94-Dispatch!F90</f>
        <v>666800</v>
      </c>
      <c r="F33" s="51">
        <f>Dispatch!G94-Dispatch!G90</f>
        <v>383143.13</v>
      </c>
      <c r="G33" s="51">
        <f>Dispatch!H94-Dispatch!H90</f>
        <v>427704</v>
      </c>
      <c r="H33" s="51"/>
      <c r="I33" s="51">
        <f>Dispatch!J94-Dispatch!J90</f>
        <v>463040.12400000001</v>
      </c>
      <c r="J33" s="51">
        <f>Dispatch!K94-Dispatch!K90</f>
        <v>0</v>
      </c>
      <c r="K33" s="51">
        <f>Dispatch!L94-Dispatch!L90</f>
        <v>463040.12400000001</v>
      </c>
    </row>
    <row r="34" spans="1:11" s="33" customFormat="1" x14ac:dyDescent="0.25">
      <c r="A34" s="33" t="s">
        <v>3436</v>
      </c>
      <c r="B34" s="51">
        <f>Streets!C129</f>
        <v>3049647</v>
      </c>
      <c r="C34" s="51">
        <f>Streets!D129</f>
        <v>1790206</v>
      </c>
      <c r="D34" s="51">
        <f>Streets!E129</f>
        <v>2239703</v>
      </c>
      <c r="E34" s="51">
        <f>Streets!F129-Streets!F125</f>
        <v>1271115</v>
      </c>
      <c r="F34" s="51">
        <f>Streets!G129-Streets!G125</f>
        <v>751676.67</v>
      </c>
      <c r="G34" s="51">
        <f>Streets!H129-Streets!H125</f>
        <v>872769.56</v>
      </c>
      <c r="H34" s="51"/>
      <c r="I34" s="51">
        <f>Streets!J129-Streets!J125</f>
        <v>1075307.436</v>
      </c>
      <c r="J34" s="51">
        <f>Streets!K129-Streets!K125</f>
        <v>2691</v>
      </c>
      <c r="K34" s="51">
        <f>Streets!L129-Streets!L125</f>
        <v>1077998.436</v>
      </c>
    </row>
    <row r="35" spans="1:11" s="33" customFormat="1" x14ac:dyDescent="0.25">
      <c r="A35" s="33" t="s">
        <v>3437</v>
      </c>
      <c r="B35" s="51">
        <f>'Solid Waste'!C65</f>
        <v>993482</v>
      </c>
      <c r="C35" s="51">
        <f>'Solid Waste'!D65</f>
        <v>1202774</v>
      </c>
      <c r="D35" s="51">
        <f>'Solid Waste'!E65</f>
        <v>1134736</v>
      </c>
      <c r="E35" s="51">
        <f>'Solid Waste'!F65-'Solid Waste'!F61</f>
        <v>1187453</v>
      </c>
      <c r="F35" s="51">
        <f>'Solid Waste'!G65-'Solid Waste'!G61</f>
        <v>1004759.75</v>
      </c>
      <c r="G35" s="51">
        <f>'Solid Waste'!H65-'Solid Waste'!H61</f>
        <v>1105984</v>
      </c>
      <c r="H35" s="51"/>
      <c r="I35" s="51">
        <f>'Solid Waste'!J65-'Solid Waste'!J61</f>
        <v>1207780.8</v>
      </c>
      <c r="J35" s="51">
        <f>'Solid Waste'!K65-'Solid Waste'!K61</f>
        <v>57859</v>
      </c>
      <c r="K35" s="51">
        <f>'Solid Waste'!L65-'Solid Waste'!L61</f>
        <v>1265639.8</v>
      </c>
    </row>
    <row r="36" spans="1:11" s="33" customFormat="1" x14ac:dyDescent="0.25">
      <c r="A36" s="33" t="s">
        <v>3438</v>
      </c>
      <c r="B36" s="51">
        <f>'Building Maintenance'!C49</f>
        <v>34506</v>
      </c>
      <c r="C36" s="51">
        <f>'Building Maintenance'!D49</f>
        <v>46070</v>
      </c>
      <c r="D36" s="51">
        <f>'Building Maintenance'!E49</f>
        <v>57456</v>
      </c>
      <c r="E36" s="51">
        <f>'Building Maintenance'!F49</f>
        <v>90950</v>
      </c>
      <c r="F36" s="51">
        <f>'Building Maintenance'!G49</f>
        <v>64714.880000000005</v>
      </c>
      <c r="G36" s="51">
        <f>'Building Maintenance'!H49</f>
        <v>74930</v>
      </c>
      <c r="H36" s="51"/>
      <c r="I36" s="51">
        <f>'Building Maintenance'!J49</f>
        <v>45130</v>
      </c>
      <c r="J36" s="51">
        <f>'Building Maintenance'!K49</f>
        <v>0</v>
      </c>
      <c r="K36" s="51">
        <f>'Building Maintenance'!L49</f>
        <v>45130</v>
      </c>
    </row>
    <row r="37" spans="1:11" s="33" customFormat="1" x14ac:dyDescent="0.25">
      <c r="A37" s="33" t="s">
        <v>3439</v>
      </c>
      <c r="B37" s="51">
        <f>'Parks &amp; Rec'!C115</f>
        <v>374670</v>
      </c>
      <c r="C37" s="51">
        <f>'Parks &amp; Rec'!D115</f>
        <v>660780</v>
      </c>
      <c r="D37" s="51">
        <f>'Parks &amp; Rec'!E115</f>
        <v>396360</v>
      </c>
      <c r="E37" s="51">
        <f>'Parks &amp; Rec'!F115-'Parks &amp; Rec'!F111</f>
        <v>610627</v>
      </c>
      <c r="F37" s="51">
        <f>'Parks &amp; Rec'!G115-'Parks &amp; Rec'!G111</f>
        <v>297195.06</v>
      </c>
      <c r="G37" s="51">
        <f>'Parks &amp; Rec'!H115-'Parks &amp; Rec'!H111</f>
        <v>353242.61</v>
      </c>
      <c r="H37" s="51"/>
      <c r="I37" s="51">
        <f>'Parks &amp; Rec'!J115-'Parks &amp; Rec'!J111</f>
        <v>580325.51</v>
      </c>
      <c r="J37" s="51">
        <f>'Parks &amp; Rec'!K115-'Parks &amp; Rec'!K111</f>
        <v>0</v>
      </c>
      <c r="K37" s="51">
        <f>'Parks &amp; Rec'!L115-'Parks &amp; Rec'!L111</f>
        <v>580325.51</v>
      </c>
    </row>
    <row r="38" spans="1:11" s="33" customFormat="1" x14ac:dyDescent="0.25">
      <c r="A38" s="33" t="s">
        <v>3440</v>
      </c>
      <c r="B38" s="51">
        <f>Aquatics!C73</f>
        <v>156283</v>
      </c>
      <c r="C38" s="51">
        <f>Aquatics!D73</f>
        <v>96685</v>
      </c>
      <c r="D38" s="51">
        <f>Aquatics!E73</f>
        <v>233767</v>
      </c>
      <c r="E38" s="51">
        <f>Aquatics!F73-Aquatics!F69</f>
        <v>164625</v>
      </c>
      <c r="F38" s="51">
        <f>Aquatics!G73-Aquatics!G69</f>
        <v>109771.23999999999</v>
      </c>
      <c r="G38" s="51">
        <f>Aquatics!H73-Aquatics!H69</f>
        <v>124087.78</v>
      </c>
      <c r="H38" s="51"/>
      <c r="I38" s="51">
        <f>Aquatics!J73-Aquatics!J69</f>
        <v>158370.95799999998</v>
      </c>
      <c r="J38" s="51">
        <f>Aquatics!K73-Aquatics!K69</f>
        <v>0</v>
      </c>
      <c r="K38" s="51">
        <f>Aquatics!L73-Aquatics!L69</f>
        <v>158370.95799999998</v>
      </c>
    </row>
    <row r="39" spans="1:11" s="33" customFormat="1" hidden="1" x14ac:dyDescent="0.25">
      <c r="A39" s="33" t="s">
        <v>3441</v>
      </c>
      <c r="B39" s="51"/>
      <c r="C39" s="51"/>
      <c r="D39" s="51"/>
      <c r="E39" s="51"/>
      <c r="F39" s="51"/>
      <c r="G39" s="56"/>
      <c r="H39" s="51"/>
      <c r="I39" s="51"/>
      <c r="J39" s="51"/>
    </row>
    <row r="40" spans="1:11" s="33" customFormat="1" x14ac:dyDescent="0.25">
      <c r="A40" s="33" t="s">
        <v>3442</v>
      </c>
      <c r="B40" s="51">
        <f>Library!C96</f>
        <v>215209</v>
      </c>
      <c r="C40" s="51">
        <f>Library!D96</f>
        <v>271486</v>
      </c>
      <c r="D40" s="51">
        <f>Library!E96</f>
        <v>333800</v>
      </c>
      <c r="E40" s="51">
        <f>Library!F96-Library!F92</f>
        <v>370126</v>
      </c>
      <c r="F40" s="51">
        <f>Library!G96-Library!G92</f>
        <v>311479.13</v>
      </c>
      <c r="G40" s="51">
        <f>Library!H96-Library!H92</f>
        <v>361226</v>
      </c>
      <c r="H40" s="51"/>
      <c r="I40" s="51">
        <f>Library!J96-Library!J92</f>
        <v>367824.61699999997</v>
      </c>
      <c r="J40" s="51">
        <f>Library!K96-Library!K92</f>
        <v>0</v>
      </c>
      <c r="K40" s="51">
        <f>Library!L96-Library!L92</f>
        <v>367824.61699999997</v>
      </c>
    </row>
    <row r="41" spans="1:11" s="33" customFormat="1" x14ac:dyDescent="0.25">
      <c r="A41" s="33" t="s">
        <v>3443</v>
      </c>
      <c r="B41" s="51">
        <f>'City Council'!C47</f>
        <v>14265</v>
      </c>
      <c r="C41" s="51">
        <f>'City Council'!D47</f>
        <v>41139</v>
      </c>
      <c r="D41" s="51">
        <f>'City Council'!E47</f>
        <v>21267</v>
      </c>
      <c r="E41" s="51">
        <f>'City Council'!F47</f>
        <v>25500</v>
      </c>
      <c r="F41" s="51">
        <f>'City Council'!G47</f>
        <v>21590.81</v>
      </c>
      <c r="G41" s="51">
        <f>'City Council'!H47</f>
        <v>28500</v>
      </c>
      <c r="H41" s="51"/>
      <c r="I41" s="51">
        <f>'City Council'!J47</f>
        <v>28500</v>
      </c>
      <c r="J41" s="51">
        <f>'City Council'!K47</f>
        <v>0</v>
      </c>
      <c r="K41" s="51">
        <f>'City Council'!L47</f>
        <v>28500</v>
      </c>
    </row>
    <row r="42" spans="1:11" s="33" customFormat="1" x14ac:dyDescent="0.25">
      <c r="A42" s="33" t="s">
        <v>3444</v>
      </c>
      <c r="B42" s="51">
        <f>'General Fund IT'!C90</f>
        <v>0</v>
      </c>
      <c r="C42" s="51">
        <f>'General Fund IT'!D90</f>
        <v>542462</v>
      </c>
      <c r="D42" s="51">
        <f>'General Fund IT'!E90</f>
        <v>501918</v>
      </c>
      <c r="E42" s="51">
        <f>'General Fund IT'!F90</f>
        <v>766318</v>
      </c>
      <c r="F42" s="51">
        <f>'General Fund IT'!G90</f>
        <v>568236.68999999994</v>
      </c>
      <c r="G42" s="51">
        <f>'General Fund IT'!H90</f>
        <v>621372.56000000006</v>
      </c>
      <c r="H42" s="51"/>
      <c r="I42" s="51">
        <f>'General Fund IT'!J90</f>
        <v>567131.36699999997</v>
      </c>
      <c r="J42" s="51">
        <f>'General Fund IT'!K90</f>
        <v>0</v>
      </c>
      <c r="K42" s="51">
        <f>'General Fund IT'!L90</f>
        <v>567131.36699999997</v>
      </c>
    </row>
    <row r="43" spans="1:11" s="33" customFormat="1" x14ac:dyDescent="0.25">
      <c r="A43" s="33" t="s">
        <v>3445</v>
      </c>
      <c r="B43" s="51">
        <f>'Aviation Fund'!C29</f>
        <v>0</v>
      </c>
      <c r="C43" s="51">
        <f>'Aviation Fund'!D29</f>
        <v>0</v>
      </c>
      <c r="D43" s="51">
        <f>'Aviation Fund'!E29</f>
        <v>0</v>
      </c>
      <c r="E43" s="51">
        <f>'Aviation Fund'!F29</f>
        <v>92299</v>
      </c>
      <c r="F43" s="51">
        <f>'Aviation Fund'!G29</f>
        <v>0</v>
      </c>
      <c r="G43" s="51">
        <f>'Aviation Fund'!H29</f>
        <v>0</v>
      </c>
      <c r="H43" s="51"/>
      <c r="I43" s="51">
        <f>'Aviation Fund'!J29</f>
        <v>50000</v>
      </c>
      <c r="J43" s="51">
        <f>'Aviation Fund'!K29</f>
        <v>0</v>
      </c>
      <c r="K43" s="51">
        <f>'Aviation Fund'!L29</f>
        <v>50000</v>
      </c>
    </row>
    <row r="44" spans="1:11" s="33" customFormat="1" x14ac:dyDescent="0.25">
      <c r="A44" s="33" t="s">
        <v>3446</v>
      </c>
      <c r="B44" s="51">
        <f>'General Fund Transfers'!C15</f>
        <v>407000</v>
      </c>
      <c r="C44" s="51">
        <f>'General Fund Transfers'!D15</f>
        <v>0</v>
      </c>
      <c r="D44" s="51">
        <f>'General Fund Transfers'!E15</f>
        <v>0</v>
      </c>
      <c r="E44" s="51">
        <f>'General Fund Transfers'!F15</f>
        <v>0</v>
      </c>
      <c r="F44" s="51">
        <f>'General Fund Transfers'!G15</f>
        <v>0</v>
      </c>
      <c r="G44" s="51">
        <f>'General Fund Transfers'!H15</f>
        <v>0</v>
      </c>
      <c r="H44" s="51"/>
      <c r="I44" s="51">
        <f>'General Fund Transfers'!J15</f>
        <v>0</v>
      </c>
      <c r="J44" s="51">
        <f>'General Fund Transfers'!K15</f>
        <v>0</v>
      </c>
      <c r="K44" s="51">
        <f>'General Fund Transfers'!L15</f>
        <v>0</v>
      </c>
    </row>
    <row r="45" spans="1:11" s="33" customFormat="1" x14ac:dyDescent="0.25">
      <c r="A45" s="33" t="s">
        <v>3447</v>
      </c>
      <c r="B45" s="51">
        <f>'Golf Course Revenue'!C26</f>
        <v>438694</v>
      </c>
      <c r="C45" s="51">
        <f>'Golf Course Revenue'!D26</f>
        <v>800000</v>
      </c>
      <c r="D45" s="51">
        <f>'Golf Course Revenue'!E26</f>
        <v>800000</v>
      </c>
      <c r="E45" s="51">
        <f>'Golf Course Revenue'!F26</f>
        <v>970519</v>
      </c>
      <c r="F45" s="51">
        <f>'Golf Course Revenue'!G26</f>
        <v>0</v>
      </c>
      <c r="G45" s="51">
        <f>'Golf Course Revenue'!H26</f>
        <v>0</v>
      </c>
      <c r="H45" s="51"/>
      <c r="I45" s="51">
        <f>'Golf Course Revenue'!J26</f>
        <v>250000</v>
      </c>
      <c r="J45" s="51">
        <f>'Golf Course Revenue'!K26</f>
        <v>0</v>
      </c>
      <c r="K45" s="51">
        <f>'Golf Course Revenue'!L26</f>
        <v>250000</v>
      </c>
    </row>
    <row r="46" spans="1:11" s="33" customFormat="1" x14ac:dyDescent="0.25">
      <c r="A46" s="33" t="s">
        <v>3448</v>
      </c>
      <c r="B46" s="51"/>
      <c r="C46" s="51"/>
      <c r="D46" s="51"/>
      <c r="E46" s="51"/>
      <c r="F46" s="51"/>
      <c r="G46" s="51"/>
      <c r="H46" s="51"/>
      <c r="I46" s="51"/>
      <c r="J46" s="48"/>
    </row>
    <row r="47" spans="1:11" s="33" customFormat="1" x14ac:dyDescent="0.25">
      <c r="A47" s="33" t="s">
        <v>3449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/>
      <c r="I47" s="51">
        <v>0</v>
      </c>
      <c r="J47" s="51">
        <v>0</v>
      </c>
      <c r="K47" s="52">
        <f>I47+J47</f>
        <v>0</v>
      </c>
    </row>
    <row r="48" spans="1:11" s="33" customFormat="1" x14ac:dyDescent="0.25">
      <c r="A48" s="33" t="s">
        <v>3450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6">
        <v>0</v>
      </c>
      <c r="H48" s="51"/>
      <c r="I48" s="51">
        <v>0</v>
      </c>
      <c r="J48" s="51">
        <v>0</v>
      </c>
      <c r="K48" s="52">
        <f>I48+J48</f>
        <v>0</v>
      </c>
    </row>
    <row r="49" spans="1:11" s="33" customFormat="1" x14ac:dyDescent="0.25">
      <c r="B49" s="51"/>
      <c r="C49" s="51"/>
      <c r="D49" s="51"/>
      <c r="E49" s="51"/>
      <c r="F49" s="51"/>
      <c r="G49" s="51"/>
      <c r="H49" s="51"/>
      <c r="I49" s="48"/>
      <c r="J49" s="48"/>
    </row>
    <row r="50" spans="1:11" s="33" customFormat="1" x14ac:dyDescent="0.25">
      <c r="A50" s="33" t="s">
        <v>3451</v>
      </c>
      <c r="B50" s="51">
        <f>SUM(B22:B48)</f>
        <v>10834697</v>
      </c>
      <c r="C50" s="51">
        <f t="shared" ref="C50:D50" si="0">SUM(C22:C48)</f>
        <v>12138109</v>
      </c>
      <c r="D50" s="51">
        <f t="shared" si="0"/>
        <v>12990329</v>
      </c>
      <c r="E50" s="51">
        <f>SUM(E22:E48)</f>
        <v>14607790</v>
      </c>
      <c r="F50" s="51">
        <f>SUM(F22:F48)</f>
        <v>9370457.879999999</v>
      </c>
      <c r="G50" s="51">
        <f>SUM(G22:G48)</f>
        <v>10645456.549999999</v>
      </c>
      <c r="H50" s="51"/>
      <c r="I50" s="51">
        <f>SUM(I22:I48)</f>
        <v>11601560.269000001</v>
      </c>
      <c r="J50" s="51">
        <f>SUM(J22:J48)</f>
        <v>257602.76</v>
      </c>
      <c r="K50" s="51">
        <f>SUM(K22:K48)</f>
        <v>11813403.029000003</v>
      </c>
    </row>
    <row r="51" spans="1:11" s="33" customFormat="1" x14ac:dyDescent="0.25">
      <c r="B51" s="51"/>
      <c r="C51" s="51"/>
      <c r="D51" s="51"/>
      <c r="E51" s="51"/>
      <c r="F51" s="51"/>
      <c r="G51" s="51"/>
      <c r="H51" s="51"/>
      <c r="I51" s="48"/>
      <c r="J51" s="48"/>
    </row>
    <row r="52" spans="1:11" s="33" customFormat="1" x14ac:dyDescent="0.25">
      <c r="A52" s="33" t="s">
        <v>3452</v>
      </c>
      <c r="B52" s="51">
        <f>B16+B18-B50</f>
        <v>1839342</v>
      </c>
      <c r="C52" s="51">
        <f t="shared" ref="C52:G52" si="1">C16+C18-C50</f>
        <v>2402519</v>
      </c>
      <c r="D52" s="51">
        <f t="shared" si="1"/>
        <v>3545893</v>
      </c>
      <c r="E52" s="51">
        <f t="shared" si="1"/>
        <v>1115642</v>
      </c>
      <c r="F52" s="51">
        <f t="shared" si="1"/>
        <v>2654057.4300000016</v>
      </c>
      <c r="G52" s="51">
        <f t="shared" si="1"/>
        <v>4540282.4500000011</v>
      </c>
      <c r="H52" s="51"/>
      <c r="I52" s="51">
        <f>I16+I18-I50</f>
        <v>3885507.7309999987</v>
      </c>
      <c r="J52" s="51">
        <f>J16+J18-J50</f>
        <v>-257602.76</v>
      </c>
      <c r="K52" s="51">
        <f>K16+K18-K50</f>
        <v>3673664.9709999971</v>
      </c>
    </row>
    <row r="53" spans="1:11" s="33" customFormat="1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4" spans="1:11" s="33" customFormat="1" x14ac:dyDescent="0.25">
      <c r="A54" s="55" t="s">
        <v>3453</v>
      </c>
      <c r="B54" s="51">
        <v>0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/>
      <c r="I54" s="51">
        <v>0</v>
      </c>
      <c r="J54" s="51">
        <v>0</v>
      </c>
      <c r="K54" s="51">
        <v>0</v>
      </c>
    </row>
    <row r="55" spans="1:11" s="33" customFormat="1" x14ac:dyDescent="0.25">
      <c r="B55" s="51"/>
      <c r="C55" s="51"/>
      <c r="D55" s="51"/>
      <c r="E55" s="51"/>
      <c r="F55" s="51"/>
      <c r="G55" s="51"/>
      <c r="H55" s="51"/>
      <c r="I55" s="48"/>
      <c r="J55" s="48"/>
    </row>
    <row r="56" spans="1:11" s="33" customFormat="1" x14ac:dyDescent="0.25">
      <c r="A56" s="33" t="s">
        <v>3454</v>
      </c>
      <c r="B56" s="51"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/>
      <c r="I56" s="51">
        <v>0</v>
      </c>
      <c r="J56" s="51">
        <v>0</v>
      </c>
      <c r="K56" s="51">
        <v>0</v>
      </c>
    </row>
    <row r="57" spans="1:11" s="33" customFormat="1" x14ac:dyDescent="0.25">
      <c r="B57" s="51"/>
      <c r="C57" s="51"/>
      <c r="D57" s="51"/>
      <c r="E57" s="51"/>
      <c r="F57" s="51"/>
      <c r="G57" s="51"/>
      <c r="H57" s="51"/>
      <c r="I57" s="51"/>
      <c r="J57" s="51"/>
    </row>
    <row r="58" spans="1:11" s="33" customFormat="1" x14ac:dyDescent="0.25">
      <c r="B58" s="51"/>
      <c r="C58" s="51"/>
      <c r="D58" s="51"/>
      <c r="E58" s="51"/>
      <c r="F58" s="51"/>
      <c r="G58" s="51"/>
      <c r="H58" s="51"/>
      <c r="I58" s="51"/>
      <c r="J58" s="51"/>
    </row>
    <row r="59" spans="1:11" s="33" customFormat="1" x14ac:dyDescent="0.25">
      <c r="A59" s="49" t="s">
        <v>3455</v>
      </c>
      <c r="B59" s="51"/>
      <c r="C59" s="51"/>
      <c r="D59" s="51"/>
      <c r="E59" s="51"/>
      <c r="F59" s="51"/>
      <c r="G59" s="51"/>
      <c r="H59" s="51"/>
      <c r="I59" s="48"/>
      <c r="J59" s="48"/>
    </row>
    <row r="60" spans="1:11" s="33" customFormat="1" x14ac:dyDescent="0.25">
      <c r="A60" s="49"/>
      <c r="B60" s="51"/>
      <c r="C60" s="51"/>
      <c r="D60" s="51"/>
      <c r="E60" s="51"/>
      <c r="F60" s="51"/>
      <c r="G60" s="51"/>
      <c r="H60" s="51"/>
      <c r="I60" s="48"/>
      <c r="J60" s="48"/>
    </row>
    <row r="61" spans="1:11" s="33" customFormat="1" x14ac:dyDescent="0.25">
      <c r="A61" s="33" t="s">
        <v>3420</v>
      </c>
      <c r="B61" s="51">
        <v>0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/>
      <c r="I61" s="51">
        <v>0</v>
      </c>
      <c r="J61" s="51">
        <v>0</v>
      </c>
      <c r="K61" s="51">
        <v>0</v>
      </c>
    </row>
    <row r="62" spans="1:11" s="33" customFormat="1" x14ac:dyDescent="0.25">
      <c r="B62" s="51"/>
      <c r="C62" s="51"/>
      <c r="D62" s="51"/>
      <c r="E62" s="51"/>
      <c r="F62" s="51"/>
      <c r="G62" s="51"/>
      <c r="H62" s="51"/>
      <c r="I62" s="48"/>
      <c r="J62" s="48"/>
    </row>
    <row r="63" spans="1:11" s="33" customFormat="1" x14ac:dyDescent="0.25">
      <c r="A63" s="33" t="s">
        <v>3421</v>
      </c>
      <c r="B63" s="51">
        <f>('Aviation Fund'!C34)-B64</f>
        <v>420123</v>
      </c>
      <c r="C63" s="51">
        <f>('Aviation Fund'!D34)-C64</f>
        <v>358297</v>
      </c>
      <c r="D63" s="51">
        <f>('Aviation Fund'!E34)-D64</f>
        <v>343484</v>
      </c>
      <c r="E63" s="51">
        <f>('Aviation Fund'!F34)-E64</f>
        <v>288055</v>
      </c>
      <c r="F63" s="51">
        <f>('Aviation Fund'!G34)-F64</f>
        <v>246484.65999999997</v>
      </c>
      <c r="G63" s="51">
        <f>('Aviation Fund'!H34)-G64</f>
        <v>313710</v>
      </c>
      <c r="H63" s="51"/>
      <c r="I63" s="51">
        <f>('Aviation Fund'!J34)-I64</f>
        <v>293800</v>
      </c>
      <c r="J63" s="51">
        <f>('Aviation Fund'!K34)-J64</f>
        <v>0</v>
      </c>
      <c r="K63" s="51">
        <f>('Aviation Fund'!L34)-K64</f>
        <v>293800</v>
      </c>
    </row>
    <row r="64" spans="1:11" s="33" customFormat="1" x14ac:dyDescent="0.25">
      <c r="A64" s="33" t="s">
        <v>3456</v>
      </c>
      <c r="B64" s="51">
        <f>'Aviation Fund'!C28+'Aviation Fund'!C29</f>
        <v>0</v>
      </c>
      <c r="C64" s="51">
        <f>'Aviation Fund'!D28+'Aviation Fund'!D29</f>
        <v>357424</v>
      </c>
      <c r="D64" s="51">
        <f>'Aviation Fund'!E28+'Aviation Fund'!E29</f>
        <v>0</v>
      </c>
      <c r="E64" s="51">
        <f>'Aviation Fund'!F28+'Aviation Fund'!F29</f>
        <v>92299</v>
      </c>
      <c r="F64" s="51">
        <f>'Aviation Fund'!G28+'Aviation Fund'!G29</f>
        <v>0</v>
      </c>
      <c r="G64" s="51">
        <f>'Aviation Fund'!H28+'Aviation Fund'!H29</f>
        <v>0</v>
      </c>
      <c r="H64" s="51"/>
      <c r="I64" s="51">
        <f>'Aviation Fund'!J28+'Aviation Fund'!J29</f>
        <v>50000</v>
      </c>
      <c r="J64" s="51">
        <f>'Aviation Fund'!K28+'Aviation Fund'!K29</f>
        <v>0</v>
      </c>
      <c r="K64" s="51">
        <f>'Aviation Fund'!L28+'Aviation Fund'!L29</f>
        <v>50000</v>
      </c>
    </row>
    <row r="65" spans="1:11" s="33" customFormat="1" x14ac:dyDescent="0.25">
      <c r="A65" s="33" t="s">
        <v>3457</v>
      </c>
      <c r="B65" s="51">
        <f>'Aviation Fund'!C138-'Aviation Fund'!C130</f>
        <v>490805</v>
      </c>
      <c r="C65" s="51">
        <f>'Aviation Fund'!D138-'Aviation Fund'!D130</f>
        <v>268959</v>
      </c>
      <c r="D65" s="51">
        <f>'Aviation Fund'!E138-'Aviation Fund'!E130</f>
        <v>306113</v>
      </c>
      <c r="E65" s="51">
        <f>'Aviation Fund'!F138-'Aviation Fund'!F130</f>
        <v>345332</v>
      </c>
      <c r="F65" s="51">
        <f>'Aviation Fund'!G138-'Aviation Fund'!G130</f>
        <v>272912.14</v>
      </c>
      <c r="G65" s="51">
        <f>'Aviation Fund'!H138-'Aviation Fund'!H130</f>
        <v>315277</v>
      </c>
      <c r="H65" s="51"/>
      <c r="I65" s="51">
        <f>'Aviation Fund'!J138-'Aviation Fund'!J130</f>
        <v>313514.07</v>
      </c>
      <c r="J65" s="51">
        <f>'Aviation Fund'!K138-'Aviation Fund'!K130</f>
        <v>0</v>
      </c>
      <c r="K65" s="51">
        <f>'Aviation Fund'!L138-'Aviation Fund'!L130</f>
        <v>313514.07</v>
      </c>
    </row>
    <row r="66" spans="1:11" s="33" customFormat="1" x14ac:dyDescent="0.25">
      <c r="B66" s="51"/>
      <c r="C66" s="51"/>
      <c r="D66" s="51"/>
      <c r="E66" s="51"/>
      <c r="F66" s="51"/>
      <c r="G66" s="51"/>
      <c r="H66" s="51"/>
      <c r="I66" s="48"/>
      <c r="J66" s="48"/>
    </row>
    <row r="67" spans="1:11" s="33" customFormat="1" x14ac:dyDescent="0.25">
      <c r="A67" s="33" t="s">
        <v>3452</v>
      </c>
      <c r="B67" s="51">
        <f t="shared" ref="B67:G67" si="2">B63+B64-B65</f>
        <v>-70682</v>
      </c>
      <c r="C67" s="51">
        <f t="shared" si="2"/>
        <v>446762</v>
      </c>
      <c r="D67" s="51">
        <f t="shared" si="2"/>
        <v>37371</v>
      </c>
      <c r="E67" s="51">
        <f t="shared" si="2"/>
        <v>35022</v>
      </c>
      <c r="F67" s="51">
        <f t="shared" si="2"/>
        <v>-26427.48000000004</v>
      </c>
      <c r="G67" s="51">
        <f t="shared" si="2"/>
        <v>-1567</v>
      </c>
      <c r="H67" s="51"/>
      <c r="I67" s="51">
        <f>I63+I64-I65</f>
        <v>30285.929999999993</v>
      </c>
      <c r="J67" s="51">
        <f>J63+J64-J65</f>
        <v>0</v>
      </c>
      <c r="K67" s="51">
        <f>K63+K64-K65</f>
        <v>30285.929999999993</v>
      </c>
    </row>
    <row r="68" spans="1:11" s="33" customFormat="1" x14ac:dyDescent="0.25">
      <c r="B68" s="51"/>
      <c r="C68" s="51"/>
      <c r="D68" s="51"/>
      <c r="E68" s="51"/>
      <c r="F68" s="51"/>
      <c r="G68" s="51"/>
      <c r="H68" s="51"/>
      <c r="I68" s="51"/>
      <c r="J68" s="51"/>
    </row>
    <row r="69" spans="1:11" s="33" customFormat="1" x14ac:dyDescent="0.25">
      <c r="A69" s="55" t="s">
        <v>3453</v>
      </c>
      <c r="B69" s="51">
        <v>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/>
      <c r="I69" s="51">
        <v>0</v>
      </c>
      <c r="J69" s="51">
        <v>0</v>
      </c>
      <c r="K69" s="52">
        <f>I69+J69</f>
        <v>0</v>
      </c>
    </row>
    <row r="70" spans="1:11" s="33" customFormat="1" x14ac:dyDescent="0.25">
      <c r="B70" s="51"/>
      <c r="C70" s="51"/>
      <c r="D70" s="51"/>
      <c r="E70" s="51"/>
      <c r="F70" s="51"/>
      <c r="G70" s="51"/>
      <c r="H70" s="51"/>
      <c r="I70" s="48"/>
      <c r="J70" s="48"/>
    </row>
    <row r="71" spans="1:11" s="33" customFormat="1" x14ac:dyDescent="0.25">
      <c r="A71" s="33" t="s">
        <v>3454</v>
      </c>
      <c r="B71" s="51"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/>
      <c r="I71" s="51">
        <v>0</v>
      </c>
      <c r="J71" s="51">
        <f>+J61+J63+J64-J65+J69</f>
        <v>0</v>
      </c>
      <c r="K71" s="52">
        <f>I71+J71</f>
        <v>0</v>
      </c>
    </row>
    <row r="72" spans="1:11" s="33" customFormat="1" x14ac:dyDescent="0.25">
      <c r="B72" s="51"/>
      <c r="C72" s="51"/>
      <c r="D72" s="51"/>
      <c r="E72" s="51"/>
      <c r="F72" s="51"/>
      <c r="G72" s="51"/>
      <c r="H72" s="51"/>
      <c r="I72" s="48"/>
      <c r="J72" s="48"/>
    </row>
    <row r="73" spans="1:11" s="33" customFormat="1" x14ac:dyDescent="0.25">
      <c r="B73" s="51"/>
      <c r="C73" s="51"/>
      <c r="D73" s="51"/>
      <c r="E73" s="51"/>
      <c r="F73" s="51"/>
      <c r="G73" s="51"/>
      <c r="H73" s="51"/>
      <c r="I73" s="48"/>
      <c r="J73" s="48"/>
    </row>
    <row r="74" spans="1:11" s="33" customFormat="1" x14ac:dyDescent="0.25">
      <c r="A74" s="49" t="s">
        <v>3458</v>
      </c>
      <c r="B74" s="51"/>
      <c r="C74" s="51"/>
      <c r="D74" s="51"/>
      <c r="E74" s="51"/>
      <c r="F74" s="51"/>
      <c r="G74" s="51"/>
      <c r="H74" s="51"/>
      <c r="I74" s="48"/>
      <c r="J74" s="48"/>
    </row>
    <row r="75" spans="1:11" s="33" customFormat="1" x14ac:dyDescent="0.25">
      <c r="A75" s="49"/>
      <c r="B75" s="51"/>
      <c r="C75" s="51"/>
      <c r="D75" s="51"/>
      <c r="E75" s="51"/>
      <c r="F75" s="51"/>
      <c r="G75" s="51"/>
      <c r="H75" s="51"/>
      <c r="I75" s="48"/>
      <c r="J75" s="48"/>
    </row>
    <row r="76" spans="1:11" s="33" customFormat="1" x14ac:dyDescent="0.25">
      <c r="A76" s="39" t="s">
        <v>3420</v>
      </c>
      <c r="B76" s="51">
        <v>0</v>
      </c>
      <c r="C76" s="51">
        <v>0</v>
      </c>
      <c r="D76" s="51">
        <v>0</v>
      </c>
      <c r="E76" s="51">
        <v>0</v>
      </c>
      <c r="F76" s="51">
        <v>0</v>
      </c>
      <c r="G76" s="48">
        <v>0</v>
      </c>
      <c r="H76" s="51"/>
      <c r="I76" s="51">
        <v>0</v>
      </c>
      <c r="J76" s="51">
        <v>0</v>
      </c>
      <c r="K76" s="52">
        <v>0</v>
      </c>
    </row>
    <row r="77" spans="1:11" s="33" customFormat="1" x14ac:dyDescent="0.25">
      <c r="B77" s="51"/>
      <c r="C77" s="51"/>
      <c r="D77" s="51"/>
      <c r="E77" s="51"/>
      <c r="F77" s="51"/>
      <c r="G77" s="51"/>
      <c r="H77" s="51"/>
      <c r="I77" s="48"/>
      <c r="J77" s="48"/>
    </row>
    <row r="78" spans="1:11" s="33" customFormat="1" x14ac:dyDescent="0.25">
      <c r="A78" s="55" t="s">
        <v>3421</v>
      </c>
      <c r="B78" s="51">
        <f>('Golf Course Revenue'!C32+'Golf Course Revenue'!C45)-B83</f>
        <v>765993</v>
      </c>
      <c r="C78" s="51">
        <f>('Golf Course Revenue'!D32+'Golf Course Revenue'!D45)-C83</f>
        <v>519485</v>
      </c>
      <c r="D78" s="51">
        <f>('Golf Course Revenue'!E32+'Golf Course Revenue'!E45)-D83</f>
        <v>687871</v>
      </c>
      <c r="E78" s="51">
        <f>('Golf Course Revenue'!F32+'Golf Course Revenue'!F45)-E83</f>
        <v>622700</v>
      </c>
      <c r="F78" s="51">
        <f>('Golf Course Revenue'!G32+'Golf Course Revenue'!G45)-F83</f>
        <v>744160.94000000006</v>
      </c>
      <c r="G78" s="51">
        <f>('Golf Course Revenue'!H32+'Golf Course Revenue'!H45)-G83</f>
        <v>889935</v>
      </c>
      <c r="H78" s="51"/>
      <c r="I78" s="51">
        <f>('Golf Course Revenue'!J32+'Golf Course Revenue'!J45)-I83</f>
        <v>935403</v>
      </c>
      <c r="J78" s="51">
        <f>('Golf Course Revenue'!K32+'Golf Course Revenue'!K45)-J83</f>
        <v>0</v>
      </c>
      <c r="K78" s="51">
        <f>('Golf Course Revenue'!L32+'Golf Course Revenue'!L45)-K83</f>
        <v>935403</v>
      </c>
    </row>
    <row r="79" spans="1:11" s="33" customFormat="1" x14ac:dyDescent="0.25">
      <c r="A79" s="55"/>
      <c r="B79" s="51"/>
      <c r="C79" s="51"/>
      <c r="D79" s="51"/>
      <c r="E79" s="51"/>
      <c r="F79" s="51"/>
      <c r="G79" s="51"/>
      <c r="H79" s="51"/>
      <c r="I79" s="48"/>
      <c r="J79" s="48"/>
    </row>
    <row r="80" spans="1:11" s="33" customFormat="1" x14ac:dyDescent="0.25">
      <c r="A80" s="33" t="s">
        <v>3459</v>
      </c>
      <c r="B80" s="51">
        <f t="shared" ref="B80:G80" si="3">B78</f>
        <v>765993</v>
      </c>
      <c r="C80" s="51">
        <f t="shared" si="3"/>
        <v>519485</v>
      </c>
      <c r="D80" s="51">
        <f t="shared" si="3"/>
        <v>687871</v>
      </c>
      <c r="E80" s="51">
        <f t="shared" si="3"/>
        <v>622700</v>
      </c>
      <c r="F80" s="51">
        <f t="shared" si="3"/>
        <v>744160.94000000006</v>
      </c>
      <c r="G80" s="51">
        <f t="shared" si="3"/>
        <v>889935</v>
      </c>
      <c r="H80" s="51"/>
      <c r="I80" s="51">
        <f>I78</f>
        <v>935403</v>
      </c>
      <c r="J80" s="51">
        <f>J78</f>
        <v>0</v>
      </c>
      <c r="K80" s="51">
        <f>K78</f>
        <v>935403</v>
      </c>
    </row>
    <row r="81" spans="1:11" s="33" customFormat="1" x14ac:dyDescent="0.25">
      <c r="A81" s="33" t="s">
        <v>3460</v>
      </c>
      <c r="B81" s="51">
        <v>0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/>
      <c r="I81" s="51">
        <v>0</v>
      </c>
      <c r="J81" s="51">
        <v>0</v>
      </c>
      <c r="K81" s="51">
        <f>I81+J81</f>
        <v>0</v>
      </c>
    </row>
    <row r="82" spans="1:11" s="33" customFormat="1" x14ac:dyDescent="0.25">
      <c r="A82" s="55"/>
      <c r="B82" s="51"/>
      <c r="C82" s="51"/>
      <c r="D82" s="51"/>
      <c r="E82" s="51"/>
      <c r="F82" s="51"/>
      <c r="G82" s="51"/>
      <c r="H82" s="51"/>
      <c r="I82" s="48"/>
      <c r="J82" s="48"/>
    </row>
    <row r="83" spans="1:11" s="33" customFormat="1" x14ac:dyDescent="0.25">
      <c r="A83" s="55" t="s">
        <v>3461</v>
      </c>
      <c r="B83" s="51">
        <f>'Golf Course Revenue'!C26</f>
        <v>438694</v>
      </c>
      <c r="C83" s="51">
        <f>'Golf Course Revenue'!D26</f>
        <v>800000</v>
      </c>
      <c r="D83" s="51">
        <f>'Golf Course Revenue'!E26</f>
        <v>800000</v>
      </c>
      <c r="E83" s="51">
        <f>'Golf Course Revenue'!F26</f>
        <v>970519</v>
      </c>
      <c r="F83" s="51">
        <f>'Golf Course Revenue'!G26</f>
        <v>0</v>
      </c>
      <c r="G83" s="51">
        <f>'Golf Course Revenue'!H26</f>
        <v>0</v>
      </c>
      <c r="H83" s="51"/>
      <c r="I83" s="51">
        <f>'Golf Course Revenue'!J26</f>
        <v>250000</v>
      </c>
      <c r="J83" s="51">
        <f>'Golf Course Revenue'!K26</f>
        <v>0</v>
      </c>
      <c r="K83" s="51">
        <f>'Golf Course Revenue'!L26</f>
        <v>250000</v>
      </c>
    </row>
    <row r="84" spans="1:11" s="33" customFormat="1" x14ac:dyDescent="0.25">
      <c r="B84" s="51"/>
      <c r="C84" s="51"/>
      <c r="D84" s="51"/>
      <c r="E84" s="51"/>
      <c r="F84" s="51"/>
      <c r="G84" s="51"/>
      <c r="H84" s="51"/>
      <c r="I84" s="48"/>
      <c r="J84" s="48"/>
    </row>
    <row r="85" spans="1:11" s="33" customFormat="1" x14ac:dyDescent="0.25">
      <c r="A85" s="55" t="s">
        <v>3423</v>
      </c>
      <c r="B85" s="51"/>
      <c r="C85" s="51"/>
      <c r="D85" s="51"/>
      <c r="E85" s="51"/>
      <c r="F85" s="51"/>
      <c r="G85" s="51"/>
      <c r="H85" s="51"/>
      <c r="I85" s="48"/>
      <c r="J85" s="48"/>
    </row>
    <row r="86" spans="1:11" s="33" customFormat="1" x14ac:dyDescent="0.25">
      <c r="B86" s="51"/>
      <c r="C86" s="51"/>
      <c r="D86" s="51"/>
      <c r="E86" s="51"/>
      <c r="F86" s="51"/>
      <c r="G86" s="51"/>
      <c r="H86" s="51"/>
      <c r="I86" s="48"/>
      <c r="J86" s="48"/>
    </row>
    <row r="87" spans="1:11" s="33" customFormat="1" x14ac:dyDescent="0.25">
      <c r="A87" s="33" t="s">
        <v>3462</v>
      </c>
      <c r="B87" s="51">
        <f>'LVGC ProShop'!C117</f>
        <v>415917</v>
      </c>
      <c r="C87" s="51">
        <f>'LVGC ProShop'!D117</f>
        <v>451209</v>
      </c>
      <c r="D87" s="51">
        <f>'LVGC ProShop'!E117</f>
        <v>588166</v>
      </c>
      <c r="E87" s="51">
        <f>'LVGC ProShop'!F117</f>
        <v>679274</v>
      </c>
      <c r="F87" s="51">
        <f>'LVGC ProShop'!G117</f>
        <v>519175.22000000003</v>
      </c>
      <c r="G87" s="51">
        <f>'LVGC ProShop'!H117</f>
        <v>561374</v>
      </c>
      <c r="H87" s="51"/>
      <c r="I87" s="51">
        <f>'LVGC ProShop'!J117</f>
        <v>674743.76399999997</v>
      </c>
      <c r="J87" s="51">
        <f>'LVGC ProShop'!K117</f>
        <v>0</v>
      </c>
      <c r="K87" s="51">
        <f>'LVGC ProShop'!L117</f>
        <v>674743.76399999997</v>
      </c>
    </row>
    <row r="88" spans="1:11" s="33" customFormat="1" x14ac:dyDescent="0.25">
      <c r="A88" s="33" t="s">
        <v>3463</v>
      </c>
      <c r="B88" s="51">
        <f>'LVGC Maintenance'!C108</f>
        <v>405573</v>
      </c>
      <c r="C88" s="51">
        <f>'LVGC Maintenance'!D108</f>
        <v>677356</v>
      </c>
      <c r="D88" s="51">
        <f>'LVGC Maintenance'!E108</f>
        <v>631330</v>
      </c>
      <c r="E88" s="51">
        <f>'LVGC Maintenance'!F108</f>
        <v>913947</v>
      </c>
      <c r="F88" s="51">
        <f>'LVGC Maintenance'!G108</f>
        <v>576512.74</v>
      </c>
      <c r="G88" s="51">
        <f>'LVGC Maintenance'!H108</f>
        <v>663354.27</v>
      </c>
      <c r="H88" s="51"/>
      <c r="I88" s="51">
        <f>'LVGC Maintenance'!J108</f>
        <v>736011.49799999991</v>
      </c>
      <c r="J88" s="51">
        <f>'LVGC Maintenance'!K108</f>
        <v>75000</v>
      </c>
      <c r="K88" s="51">
        <f>'LVGC Maintenance'!L108</f>
        <v>811011.49799999991</v>
      </c>
    </row>
    <row r="89" spans="1:11" s="33" customFormat="1" x14ac:dyDescent="0.25">
      <c r="A89" s="33" t="s">
        <v>3464</v>
      </c>
      <c r="B89" s="51">
        <v>0</v>
      </c>
      <c r="C89" s="51">
        <v>0</v>
      </c>
      <c r="D89" s="51">
        <v>0</v>
      </c>
      <c r="E89" s="51">
        <v>0</v>
      </c>
      <c r="F89" s="51">
        <v>0</v>
      </c>
      <c r="G89" s="58">
        <v>0</v>
      </c>
      <c r="H89" s="51"/>
      <c r="I89" s="51">
        <v>0</v>
      </c>
      <c r="J89" s="51">
        <v>0</v>
      </c>
      <c r="K89" s="52">
        <f>I89+J89</f>
        <v>0</v>
      </c>
    </row>
    <row r="90" spans="1:11" s="33" customFormat="1" x14ac:dyDescent="0.25">
      <c r="A90" s="33" t="s">
        <v>3465</v>
      </c>
      <c r="B90" s="51">
        <v>0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/>
      <c r="I90" s="51">
        <v>0</v>
      </c>
      <c r="J90" s="51">
        <v>0</v>
      </c>
      <c r="K90" s="52">
        <f>I90+J90</f>
        <v>0</v>
      </c>
    </row>
    <row r="91" spans="1:11" s="33" customFormat="1" x14ac:dyDescent="0.25">
      <c r="A91" s="33" t="s">
        <v>3466</v>
      </c>
      <c r="B91" s="51">
        <v>0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/>
      <c r="I91" s="51">
        <v>0</v>
      </c>
      <c r="J91" s="51">
        <v>0</v>
      </c>
      <c r="K91" s="52">
        <f>I91+J91</f>
        <v>0</v>
      </c>
    </row>
    <row r="92" spans="1:11" s="33" customFormat="1" x14ac:dyDescent="0.25">
      <c r="B92" s="51"/>
      <c r="C92" s="51"/>
      <c r="D92" s="51"/>
      <c r="E92" s="51"/>
      <c r="F92" s="51"/>
      <c r="G92" s="51"/>
      <c r="H92" s="51"/>
      <c r="I92" s="48"/>
      <c r="J92" s="48"/>
    </row>
    <row r="93" spans="1:11" s="33" customFormat="1" x14ac:dyDescent="0.25">
      <c r="A93" s="33" t="s">
        <v>3467</v>
      </c>
      <c r="B93" s="51">
        <f t="shared" ref="B93:G93" si="4">SUM(B87:B92)</f>
        <v>821490</v>
      </c>
      <c r="C93" s="51">
        <f t="shared" si="4"/>
        <v>1128565</v>
      </c>
      <c r="D93" s="51">
        <f t="shared" si="4"/>
        <v>1219496</v>
      </c>
      <c r="E93" s="51">
        <f t="shared" si="4"/>
        <v>1593221</v>
      </c>
      <c r="F93" s="51">
        <f t="shared" si="4"/>
        <v>1095687.96</v>
      </c>
      <c r="G93" s="51">
        <f t="shared" si="4"/>
        <v>1224728.27</v>
      </c>
      <c r="H93" s="51"/>
      <c r="I93" s="51">
        <f>SUM(I87:I92)</f>
        <v>1410755.2619999999</v>
      </c>
      <c r="J93" s="51">
        <f>SUM(J87:J92)</f>
        <v>75000</v>
      </c>
      <c r="K93" s="51">
        <f>SUM(K87:K92)</f>
        <v>1485755.2619999999</v>
      </c>
    </row>
    <row r="94" spans="1:11" s="33" customFormat="1" x14ac:dyDescent="0.25">
      <c r="B94" s="51"/>
      <c r="C94" s="51"/>
      <c r="D94" s="51"/>
      <c r="E94" s="51"/>
      <c r="F94" s="51"/>
      <c r="G94" s="51"/>
      <c r="H94" s="51"/>
      <c r="I94" s="48"/>
      <c r="J94" s="48"/>
    </row>
    <row r="95" spans="1:11" s="33" customFormat="1" x14ac:dyDescent="0.25">
      <c r="A95" s="33" t="s">
        <v>3452</v>
      </c>
      <c r="B95" s="51">
        <f t="shared" ref="B95:G95" si="5">+B78+B83+B81-B93</f>
        <v>383197</v>
      </c>
      <c r="C95" s="51">
        <f t="shared" si="5"/>
        <v>190920</v>
      </c>
      <c r="D95" s="51">
        <f t="shared" si="5"/>
        <v>268375</v>
      </c>
      <c r="E95" s="51">
        <f t="shared" si="5"/>
        <v>-2</v>
      </c>
      <c r="F95" s="51">
        <f t="shared" si="5"/>
        <v>-351527.0199999999</v>
      </c>
      <c r="G95" s="51">
        <f t="shared" si="5"/>
        <v>-334793.27</v>
      </c>
      <c r="H95" s="51"/>
      <c r="I95" s="51">
        <f>+I78+I83+I81-I93</f>
        <v>-225352.26199999987</v>
      </c>
      <c r="J95" s="51">
        <f>+J78+J83+J81-J93</f>
        <v>-75000</v>
      </c>
      <c r="K95" s="51">
        <f>+K78+K83+K81-K93</f>
        <v>-300352.26199999987</v>
      </c>
    </row>
    <row r="96" spans="1:11" s="33" customFormat="1" x14ac:dyDescent="0.25">
      <c r="B96" s="51"/>
      <c r="C96" s="51"/>
      <c r="D96" s="51"/>
      <c r="E96" s="51"/>
      <c r="F96" s="51"/>
      <c r="G96" s="58"/>
      <c r="H96" s="51"/>
      <c r="I96" s="51"/>
      <c r="J96" s="51"/>
    </row>
    <row r="97" spans="1:11" s="33" customFormat="1" x14ac:dyDescent="0.25">
      <c r="A97" s="55" t="s">
        <v>3453</v>
      </c>
      <c r="B97" s="51">
        <v>0</v>
      </c>
      <c r="C97" s="51">
        <v>0</v>
      </c>
      <c r="D97" s="51">
        <v>0</v>
      </c>
      <c r="E97" s="51">
        <v>0</v>
      </c>
      <c r="F97" s="51">
        <v>0</v>
      </c>
      <c r="G97" s="51"/>
      <c r="H97" s="51"/>
      <c r="I97" s="51">
        <v>0</v>
      </c>
      <c r="J97" s="51">
        <v>0</v>
      </c>
      <c r="K97" s="52">
        <f>I97+J97</f>
        <v>0</v>
      </c>
    </row>
    <row r="98" spans="1:11" s="33" customFormat="1" x14ac:dyDescent="0.25">
      <c r="B98" s="51"/>
      <c r="C98" s="51"/>
      <c r="D98" s="51"/>
      <c r="E98" s="51"/>
      <c r="F98" s="51"/>
      <c r="G98" s="51"/>
      <c r="H98" s="51"/>
      <c r="I98" s="48"/>
      <c r="J98" s="48"/>
    </row>
    <row r="99" spans="1:11" s="33" customFormat="1" x14ac:dyDescent="0.25">
      <c r="A99" s="33" t="s">
        <v>3454</v>
      </c>
      <c r="B99" s="51">
        <v>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/>
      <c r="I99" s="51">
        <v>0</v>
      </c>
      <c r="J99" s="51">
        <v>0</v>
      </c>
      <c r="K99" s="51">
        <v>0</v>
      </c>
    </row>
    <row r="100" spans="1:11" s="33" customFormat="1" x14ac:dyDescent="0.25">
      <c r="B100" s="51"/>
      <c r="C100" s="51"/>
      <c r="D100" s="51"/>
      <c r="E100" s="51"/>
      <c r="F100" s="51"/>
      <c r="G100" s="51"/>
      <c r="H100" s="51"/>
      <c r="I100" s="48"/>
      <c r="J100" s="48"/>
    </row>
    <row r="101" spans="1:11" s="33" customFormat="1" x14ac:dyDescent="0.25">
      <c r="B101" s="51"/>
      <c r="C101" s="51"/>
      <c r="D101" s="51"/>
      <c r="E101" s="51"/>
      <c r="F101" s="51"/>
      <c r="G101" s="51"/>
      <c r="H101" s="51"/>
      <c r="I101" s="48"/>
      <c r="J101" s="48"/>
    </row>
    <row r="102" spans="1:11" s="33" customFormat="1" x14ac:dyDescent="0.25">
      <c r="A102" s="49" t="s">
        <v>3468</v>
      </c>
      <c r="B102" s="51"/>
      <c r="C102" s="51"/>
      <c r="D102" s="51"/>
      <c r="E102" s="51"/>
      <c r="F102" s="51"/>
      <c r="G102" s="51"/>
      <c r="H102" s="51"/>
      <c r="I102" s="48"/>
      <c r="J102" s="48"/>
    </row>
    <row r="103" spans="1:11" s="33" customFormat="1" x14ac:dyDescent="0.25">
      <c r="A103" s="49"/>
      <c r="B103" s="51"/>
      <c r="C103" s="51"/>
      <c r="D103" s="51"/>
      <c r="E103" s="51"/>
      <c r="F103" s="51"/>
      <c r="G103" s="51"/>
      <c r="H103" s="51"/>
      <c r="I103" s="48"/>
      <c r="J103" s="48"/>
    </row>
    <row r="104" spans="1:11" s="33" customFormat="1" x14ac:dyDescent="0.25">
      <c r="A104" s="39" t="s">
        <v>3420</v>
      </c>
      <c r="B104" s="51">
        <v>0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/>
      <c r="I104" s="51">
        <v>0</v>
      </c>
      <c r="J104" s="51">
        <v>0</v>
      </c>
      <c r="K104" s="52">
        <v>0</v>
      </c>
    </row>
    <row r="105" spans="1:11" s="33" customFormat="1" x14ac:dyDescent="0.25">
      <c r="A105" s="39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1" s="33" customFormat="1" x14ac:dyDescent="0.25">
      <c r="A106" s="55" t="s">
        <v>3421</v>
      </c>
      <c r="B106" s="51">
        <f>'Utility Fund Revenue'!C96</f>
        <v>12993216</v>
      </c>
      <c r="C106" s="51">
        <f>'Utility Fund Revenue'!D96</f>
        <v>10707689</v>
      </c>
      <c r="D106" s="51">
        <f>'Utility Fund Revenue'!E96</f>
        <v>10653770</v>
      </c>
      <c r="E106" s="51">
        <f>'Utility Fund Revenue'!F96-'Utility Fund Revenue'!F92</f>
        <v>12628624</v>
      </c>
      <c r="F106" s="51">
        <f>'Utility Fund Revenue'!G96-'Utility Fund Revenue'!G92</f>
        <v>8507540.0399999991</v>
      </c>
      <c r="G106" s="51">
        <f>'Utility Fund Revenue'!H96-'Utility Fund Revenue'!H92</f>
        <v>9912552</v>
      </c>
      <c r="H106" s="51"/>
      <c r="I106" s="51">
        <f>'Utility Fund Revenue'!J96-'Utility Fund Revenue'!J92</f>
        <v>10338925</v>
      </c>
      <c r="J106" s="51">
        <f>'Utility Fund Revenue'!K96-'Utility Fund Revenue'!K92</f>
        <v>0</v>
      </c>
      <c r="K106" s="51">
        <f>'Utility Fund Revenue'!L96-'Utility Fund Revenue'!L92</f>
        <v>10338925</v>
      </c>
    </row>
    <row r="107" spans="1:11" s="33" customFormat="1" x14ac:dyDescent="0.25">
      <c r="A107" s="39"/>
      <c r="B107" s="51"/>
      <c r="C107" s="51"/>
      <c r="D107" s="51"/>
      <c r="E107" s="51"/>
      <c r="F107" s="51"/>
      <c r="G107" s="58"/>
      <c r="H107" s="51"/>
      <c r="I107" s="48"/>
      <c r="J107" s="48"/>
    </row>
    <row r="108" spans="1:11" s="33" customFormat="1" x14ac:dyDescent="0.25">
      <c r="A108" s="55" t="s">
        <v>3423</v>
      </c>
      <c r="B108" s="51"/>
      <c r="C108" s="51"/>
      <c r="D108" s="51"/>
      <c r="E108" s="51"/>
      <c r="F108" s="51"/>
      <c r="G108" s="51"/>
      <c r="H108" s="51"/>
      <c r="I108" s="48"/>
      <c r="J108" s="48"/>
    </row>
    <row r="109" spans="1:11" s="33" customFormat="1" x14ac:dyDescent="0.25">
      <c r="B109" s="51"/>
      <c r="C109" s="51"/>
      <c r="D109" s="51"/>
      <c r="E109" s="51"/>
      <c r="F109" s="51"/>
      <c r="G109" s="51"/>
      <c r="H109" s="51"/>
      <c r="I109" s="48"/>
      <c r="J109" s="48"/>
    </row>
    <row r="110" spans="1:11" s="33" customFormat="1" x14ac:dyDescent="0.25">
      <c r="A110" s="33" t="s">
        <v>3469</v>
      </c>
      <c r="B110" s="51">
        <f>'Utility Admin'!C104</f>
        <v>227773</v>
      </c>
      <c r="C110" s="51">
        <f>'Utility Admin'!D104</f>
        <v>510380</v>
      </c>
      <c r="D110" s="51">
        <f>'Utility Admin'!E104</f>
        <v>384445</v>
      </c>
      <c r="E110" s="51">
        <f>'Utility Admin'!F104</f>
        <v>467389</v>
      </c>
      <c r="F110" s="51">
        <f>'Utility Admin'!G104</f>
        <v>322875.94</v>
      </c>
      <c r="G110" s="51">
        <f>'Utility Admin'!H104</f>
        <v>446198</v>
      </c>
      <c r="H110" s="51"/>
      <c r="I110" s="51">
        <f>'Utility Admin'!J104</f>
        <v>470215.48600000003</v>
      </c>
      <c r="J110" s="51">
        <f>'Utility Admin'!K104</f>
        <v>0</v>
      </c>
      <c r="K110" s="51">
        <f>'Utility Admin'!L104</f>
        <v>470215.48600000003</v>
      </c>
    </row>
    <row r="111" spans="1:11" s="33" customFormat="1" x14ac:dyDescent="0.25">
      <c r="A111" s="33" t="s">
        <v>3470</v>
      </c>
      <c r="B111" s="51">
        <f>'General Fund Transfer'!C12</f>
        <v>1600000</v>
      </c>
      <c r="C111" s="51">
        <f>'General Fund Transfer'!D12</f>
        <v>2059643</v>
      </c>
      <c r="D111" s="51">
        <f>'General Fund Transfer'!E12</f>
        <v>2059643</v>
      </c>
      <c r="E111" s="51">
        <f>'General Fund Transfer'!F12</f>
        <v>3643573</v>
      </c>
      <c r="F111" s="51">
        <f>'General Fund Transfer'!G12</f>
        <v>1544732.28</v>
      </c>
      <c r="G111" s="51">
        <f>'General Fund Transfer'!H12</f>
        <v>3643573</v>
      </c>
      <c r="H111" s="51"/>
      <c r="I111" s="51">
        <f>'General Fund Transfer'!J12</f>
        <v>3643573</v>
      </c>
      <c r="J111" s="51">
        <f>'General Fund Transfer'!K12</f>
        <v>0</v>
      </c>
      <c r="K111" s="51">
        <f>'General Fund Transfer'!L12</f>
        <v>3643573</v>
      </c>
    </row>
    <row r="112" spans="1:11" s="33" customFormat="1" x14ac:dyDescent="0.25">
      <c r="A112" s="33" t="s">
        <v>3471</v>
      </c>
      <c r="B112" s="51">
        <v>0</v>
      </c>
      <c r="C112" s="51">
        <v>0</v>
      </c>
      <c r="D112" s="51">
        <v>0</v>
      </c>
      <c r="E112" s="51">
        <v>0</v>
      </c>
      <c r="F112" s="51">
        <v>0</v>
      </c>
      <c r="G112" s="56">
        <v>0</v>
      </c>
      <c r="H112" s="51"/>
      <c r="I112" s="51">
        <v>0</v>
      </c>
      <c r="J112" s="51">
        <v>0</v>
      </c>
      <c r="K112" s="52">
        <f>I112+J112</f>
        <v>0</v>
      </c>
    </row>
    <row r="113" spans="1:11" s="33" customFormat="1" x14ac:dyDescent="0.25">
      <c r="A113" s="33" t="s">
        <v>3472</v>
      </c>
      <c r="B113" s="51">
        <f>'Utility Fund IT'!C89</f>
        <v>498181</v>
      </c>
      <c r="C113" s="51">
        <f>'Utility Fund IT'!D89</f>
        <v>48119</v>
      </c>
      <c r="D113" s="51">
        <f>'Utility Fund IT'!E89</f>
        <v>39341</v>
      </c>
      <c r="E113" s="51">
        <f>'Utility Fund IT'!F89</f>
        <v>83883</v>
      </c>
      <c r="F113" s="51">
        <f>'Utility Fund IT'!G89</f>
        <v>53134.479999999996</v>
      </c>
      <c r="G113" s="51">
        <f>'Utility Fund IT'!H89</f>
        <v>61248.05</v>
      </c>
      <c r="H113" s="51"/>
      <c r="I113" s="51">
        <f>'Utility Fund IT'!J89</f>
        <v>65292.854999999996</v>
      </c>
      <c r="J113" s="51">
        <f>'Utility Fund IT'!K89</f>
        <v>0</v>
      </c>
      <c r="K113" s="51">
        <f>'Utility Fund IT'!L89</f>
        <v>65292.854999999996</v>
      </c>
    </row>
    <row r="114" spans="1:11" s="33" customFormat="1" x14ac:dyDescent="0.25">
      <c r="A114" s="33" t="s">
        <v>3473</v>
      </c>
      <c r="B114" s="51">
        <f>'Public Works Admin'!C104</f>
        <v>419313</v>
      </c>
      <c r="C114" s="51">
        <f>'Public Works Admin'!D104</f>
        <v>345251</v>
      </c>
      <c r="D114" s="51">
        <f>'Public Works Admin'!E104</f>
        <v>951780</v>
      </c>
      <c r="E114" s="51">
        <f>'Public Works Admin'!F104</f>
        <v>1388620</v>
      </c>
      <c r="F114" s="51">
        <f>'Public Works Admin'!G104</f>
        <v>807813.47</v>
      </c>
      <c r="G114" s="51">
        <f>'Public Works Admin'!H104</f>
        <v>876509.03</v>
      </c>
      <c r="H114" s="51"/>
      <c r="I114" s="51">
        <f>'Public Works Admin'!J104</f>
        <v>971969.21700000006</v>
      </c>
      <c r="J114" s="51">
        <f>'Public Works Admin'!K104</f>
        <v>0</v>
      </c>
      <c r="K114" s="51">
        <f>'Public Works Admin'!L104</f>
        <v>971969.21700000006</v>
      </c>
    </row>
    <row r="115" spans="1:11" s="33" customFormat="1" x14ac:dyDescent="0.25">
      <c r="A115" s="33" t="s">
        <v>3474</v>
      </c>
      <c r="B115" s="51">
        <f>'Water Services'!C114</f>
        <v>1892876</v>
      </c>
      <c r="C115" s="51">
        <f>'Water Services'!D114</f>
        <v>1303099</v>
      </c>
      <c r="D115" s="51">
        <f>'Water Services'!E114</f>
        <v>1876300</v>
      </c>
      <c r="E115" s="51">
        <f>'Water Services'!F114-'Water Services'!F110</f>
        <v>1504916</v>
      </c>
      <c r="F115" s="51">
        <f>'Water Services'!G114-'Water Services'!G110</f>
        <v>965643.33000000007</v>
      </c>
      <c r="G115" s="51">
        <f>'Water Services'!H114-'Water Services'!H110</f>
        <v>1079789.76</v>
      </c>
      <c r="H115" s="51"/>
      <c r="I115" s="51">
        <f>'Water Services'!J114-'Water Services'!J110</f>
        <v>1207131.807</v>
      </c>
      <c r="J115" s="51">
        <f>'Water Services'!K114-'Water Services'!K110</f>
        <v>0</v>
      </c>
      <c r="K115" s="51">
        <f>'Water Services'!L114-'Water Services'!L110</f>
        <v>1207131.807</v>
      </c>
    </row>
    <row r="116" spans="1:11" s="33" customFormat="1" x14ac:dyDescent="0.25">
      <c r="A116" s="33" t="s">
        <v>3475</v>
      </c>
      <c r="B116" s="51">
        <f>'Water Plant 1'!C98</f>
        <v>449355</v>
      </c>
      <c r="C116" s="51">
        <f>'Water Plant 1'!D98</f>
        <v>363437</v>
      </c>
      <c r="D116" s="51">
        <f>'Water Plant 1'!E98</f>
        <v>376516</v>
      </c>
      <c r="E116" s="51">
        <f>'Water Plant 1'!F98-'Water Plant 1'!F94</f>
        <v>708761</v>
      </c>
      <c r="F116" s="51">
        <f>'Water Plant 1'!G98-'Water Plant 1'!G94</f>
        <v>1200060.1199999999</v>
      </c>
      <c r="G116" s="51">
        <f>'Water Plant 1'!H98-'Water Plant 1'!H94</f>
        <v>1268254</v>
      </c>
      <c r="H116" s="51"/>
      <c r="I116" s="51">
        <f>'Water Plant 1'!J98-'Water Plant 1'!J94</f>
        <v>791943.19200000004</v>
      </c>
      <c r="J116" s="51">
        <f>'Water Plant 1'!K98-'Water Plant 1'!K94</f>
        <v>0</v>
      </c>
      <c r="K116" s="51">
        <f>'Water Plant 1'!L98-'Water Plant 1'!L94</f>
        <v>791943.19200000004</v>
      </c>
    </row>
    <row r="117" spans="1:11" s="33" customFormat="1" hidden="1" x14ac:dyDescent="0.25">
      <c r="A117" s="33" t="s">
        <v>3476</v>
      </c>
      <c r="B117" s="51">
        <v>0</v>
      </c>
      <c r="C117" s="51">
        <v>0</v>
      </c>
      <c r="D117" s="51">
        <v>0</v>
      </c>
      <c r="E117" s="51">
        <v>0</v>
      </c>
      <c r="F117" s="51">
        <v>0</v>
      </c>
      <c r="G117" s="56"/>
      <c r="H117" s="51"/>
      <c r="I117" s="51">
        <v>0</v>
      </c>
      <c r="J117" s="51">
        <v>0</v>
      </c>
    </row>
    <row r="118" spans="1:11" s="33" customFormat="1" x14ac:dyDescent="0.25">
      <c r="A118" s="33" t="s">
        <v>3477</v>
      </c>
      <c r="B118" s="51">
        <f>'Water Plant 3'!C97</f>
        <v>450176</v>
      </c>
      <c r="C118" s="51">
        <f>'Water Plant 3'!D97</f>
        <v>492229</v>
      </c>
      <c r="D118" s="51">
        <f>'Water Plant 3'!E97</f>
        <v>1129256</v>
      </c>
      <c r="E118" s="51">
        <f>'Water Plant 3'!F97-'Water Plant 3'!F93</f>
        <v>695881</v>
      </c>
      <c r="F118" s="51">
        <f>'Water Plant 3'!G97-'Water Plant 3'!G93</f>
        <v>540076.46</v>
      </c>
      <c r="G118" s="51">
        <f>'Water Plant 3'!H97-'Water Plant 3'!H93</f>
        <v>606710.35</v>
      </c>
      <c r="H118" s="51"/>
      <c r="I118" s="51">
        <f>'Water Plant 3'!J97-'Water Plant 3'!J93</f>
        <v>765175.52600000007</v>
      </c>
      <c r="J118" s="51">
        <f>'Water Plant 3'!K97-'Water Plant 3'!K93</f>
        <v>0</v>
      </c>
      <c r="K118" s="51">
        <f>'Water Plant 3'!L97-'Water Plant 3'!L93</f>
        <v>765175.52600000007</v>
      </c>
    </row>
    <row r="119" spans="1:11" s="33" customFormat="1" x14ac:dyDescent="0.25">
      <c r="A119" s="33" t="s">
        <v>3478</v>
      </c>
      <c r="B119" s="51">
        <f>'Sewer Services'!C105</f>
        <v>1040016</v>
      </c>
      <c r="C119" s="51">
        <f>'Sewer Services'!D105</f>
        <v>645934</v>
      </c>
      <c r="D119" s="51">
        <f>'Sewer Services'!E105</f>
        <v>817598</v>
      </c>
      <c r="E119" s="51">
        <f>'Sewer Services'!F105-'Sewer Services'!F101</f>
        <v>1255240</v>
      </c>
      <c r="F119" s="51">
        <f>'Sewer Services'!G105-'Sewer Services'!G101</f>
        <v>645467.22</v>
      </c>
      <c r="G119" s="51">
        <f>'Sewer Services'!H105-'Sewer Services'!H101</f>
        <v>743099</v>
      </c>
      <c r="H119" s="51"/>
      <c r="I119" s="51">
        <f>'Sewer Services'!J105-'Sewer Services'!J101</f>
        <v>1076727.1510000001</v>
      </c>
      <c r="J119" s="51">
        <f>'Sewer Services'!K105-'Sewer Services'!K101</f>
        <v>0</v>
      </c>
      <c r="K119" s="51">
        <f>'Sewer Services'!L105-'Sewer Services'!L101</f>
        <v>1076727.1510000001</v>
      </c>
    </row>
    <row r="120" spans="1:11" s="33" customFormat="1" x14ac:dyDescent="0.25">
      <c r="A120" s="33" t="s">
        <v>3479</v>
      </c>
      <c r="B120" s="51">
        <f>'Wastewater Treatment Plant'!C96</f>
        <v>422001</v>
      </c>
      <c r="C120" s="51">
        <f>'Wastewater Treatment Plant'!D96</f>
        <v>491751</v>
      </c>
      <c r="D120" s="51">
        <f>'Wastewater Treatment Plant'!E96</f>
        <v>540677</v>
      </c>
      <c r="E120" s="51">
        <f>'Wastewater Treatment Plant'!F96-'Wastewater Treatment Plant'!F92</f>
        <v>750782</v>
      </c>
      <c r="F120" s="51">
        <f>'Wastewater Treatment Plant'!G96-'Wastewater Treatment Plant'!G92</f>
        <v>837959.07000000007</v>
      </c>
      <c r="G120" s="51">
        <f>'Wastewater Treatment Plant'!H96-'Wastewater Treatment Plant'!H92</f>
        <v>911596</v>
      </c>
      <c r="H120" s="51"/>
      <c r="I120" s="51">
        <f>'Wastewater Treatment Plant'!J96-'Wastewater Treatment Plant'!J92</f>
        <v>881794.96600000001</v>
      </c>
      <c r="J120" s="51">
        <f>'Wastewater Treatment Plant'!K96-'Wastewater Treatment Plant'!K92</f>
        <v>0</v>
      </c>
      <c r="K120" s="51">
        <f>'Wastewater Treatment Plant'!L96-'Wastewater Treatment Plant'!L92</f>
        <v>881794.96600000001</v>
      </c>
    </row>
    <row r="121" spans="1:11" s="33" customFormat="1" x14ac:dyDescent="0.25">
      <c r="A121" s="33" t="s">
        <v>3480</v>
      </c>
      <c r="B121" s="51">
        <f>'Effluent Disposal'!C97</f>
        <v>279844</v>
      </c>
      <c r="C121" s="51">
        <f>'Effluent Disposal'!D97</f>
        <v>253946</v>
      </c>
      <c r="D121" s="51">
        <f>'Effluent Disposal'!E97</f>
        <v>522873</v>
      </c>
      <c r="E121" s="51">
        <f>'Effluent Disposal'!F97-'Effluent Disposal'!F93</f>
        <v>400995</v>
      </c>
      <c r="F121" s="51">
        <f>'Effluent Disposal'!G97-'Effluent Disposal'!G93</f>
        <v>220846.29999999981</v>
      </c>
      <c r="G121" s="51">
        <f>'Effluent Disposal'!H97-'Effluent Disposal'!H93</f>
        <v>249421</v>
      </c>
      <c r="H121" s="51"/>
      <c r="I121" s="51">
        <f>'Effluent Disposal'!J97-'Effluent Disposal'!J93</f>
        <v>395632.54700000025</v>
      </c>
      <c r="J121" s="51">
        <f>'Effluent Disposal'!K97-'Effluent Disposal'!K93</f>
        <v>0</v>
      </c>
      <c r="K121" s="51">
        <f>'Effluent Disposal'!L97-'Effluent Disposal'!L93</f>
        <v>395632.54700000025</v>
      </c>
    </row>
    <row r="122" spans="1:11" s="33" customFormat="1" hidden="1" x14ac:dyDescent="0.25">
      <c r="A122" s="33" t="s">
        <v>3481</v>
      </c>
      <c r="B122" s="51">
        <v>0</v>
      </c>
      <c r="C122" s="51">
        <v>0</v>
      </c>
      <c r="D122" s="51">
        <v>0</v>
      </c>
      <c r="E122" s="51">
        <v>0</v>
      </c>
      <c r="F122" s="51">
        <v>0</v>
      </c>
      <c r="G122" s="56"/>
      <c r="H122" s="51"/>
      <c r="I122" s="51">
        <v>0</v>
      </c>
      <c r="J122" s="51">
        <v>0</v>
      </c>
    </row>
    <row r="123" spans="1:11" s="33" customFormat="1" hidden="1" x14ac:dyDescent="0.25">
      <c r="A123" s="33" t="s">
        <v>3482</v>
      </c>
      <c r="B123" s="51">
        <v>0</v>
      </c>
      <c r="C123" s="51">
        <v>0</v>
      </c>
      <c r="D123" s="51">
        <v>0</v>
      </c>
      <c r="E123" s="51">
        <v>0</v>
      </c>
      <c r="F123" s="51">
        <v>0</v>
      </c>
      <c r="G123" s="56"/>
      <c r="H123" s="51"/>
      <c r="I123" s="51">
        <v>0</v>
      </c>
      <c r="J123" s="51">
        <v>0</v>
      </c>
    </row>
    <row r="124" spans="1:11" s="33" customFormat="1" x14ac:dyDescent="0.25">
      <c r="A124" s="33" t="s">
        <v>3483</v>
      </c>
      <c r="B124" s="51">
        <f>'Booster Pumps'!C92</f>
        <v>109703</v>
      </c>
      <c r="C124" s="51">
        <f>'Booster Pumps'!D92</f>
        <v>74156</v>
      </c>
      <c r="D124" s="51">
        <f>'Booster Pumps'!E92</f>
        <v>99386</v>
      </c>
      <c r="E124" s="51">
        <f>'Booster Pumps'!F92-'Booster Pumps'!F88</f>
        <v>160110</v>
      </c>
      <c r="F124" s="51">
        <f>'Booster Pumps'!G92-'Booster Pumps'!G88</f>
        <v>95118.6</v>
      </c>
      <c r="G124" s="51">
        <f>'Booster Pumps'!H92-'Booster Pumps'!H88</f>
        <v>115795</v>
      </c>
      <c r="H124" s="51"/>
      <c r="I124" s="51">
        <f>'Booster Pumps'!J92-'Booster Pumps'!J88</f>
        <v>254125.91200000001</v>
      </c>
      <c r="J124" s="51">
        <f>'Booster Pumps'!K92-'Booster Pumps'!K88</f>
        <v>0</v>
      </c>
      <c r="K124" s="51">
        <f>'Booster Pumps'!L92-'Booster Pumps'!L88</f>
        <v>254125.91200000001</v>
      </c>
    </row>
    <row r="125" spans="1:11" s="33" customFormat="1" x14ac:dyDescent="0.25">
      <c r="A125" s="33" t="s">
        <v>3484</v>
      </c>
      <c r="B125" s="51">
        <f>'Lift Stations'!C89</f>
        <v>317491</v>
      </c>
      <c r="C125" s="51">
        <f>'Lift Stations'!D89</f>
        <v>238132</v>
      </c>
      <c r="D125" s="51">
        <f>'Lift Stations'!E89</f>
        <v>467540</v>
      </c>
      <c r="E125" s="51">
        <f>'Lift Stations'!F89-'Lift Stations'!F85</f>
        <v>242541</v>
      </c>
      <c r="F125" s="51">
        <f>'Lift Stations'!G89-'Lift Stations'!G85</f>
        <v>144029.03000000003</v>
      </c>
      <c r="G125" s="51">
        <f>'Lift Stations'!H89-'Lift Stations'!H85</f>
        <v>157040</v>
      </c>
      <c r="H125" s="51"/>
      <c r="I125" s="51">
        <f>'Lift Stations'!J89-'Lift Stations'!J85</f>
        <v>313040.40399999998</v>
      </c>
      <c r="J125" s="51">
        <f>'Lift Stations'!K89-'Lift Stations'!K85</f>
        <v>0</v>
      </c>
      <c r="K125" s="51">
        <f>'Lift Stations'!L89-'Lift Stations'!L85</f>
        <v>313040.40399999998</v>
      </c>
    </row>
    <row r="126" spans="1:11" s="33" customFormat="1" hidden="1" x14ac:dyDescent="0.25">
      <c r="A126" s="33" t="s">
        <v>3485</v>
      </c>
      <c r="B126" s="51">
        <v>0</v>
      </c>
      <c r="C126" s="51">
        <v>0</v>
      </c>
      <c r="D126" s="51">
        <v>0</v>
      </c>
      <c r="E126" s="51">
        <v>0</v>
      </c>
      <c r="F126" s="51">
        <v>0</v>
      </c>
      <c r="G126" s="51"/>
      <c r="H126" s="51"/>
      <c r="I126" s="51">
        <v>0</v>
      </c>
      <c r="J126" s="51">
        <v>0</v>
      </c>
    </row>
    <row r="127" spans="1:11" s="33" customFormat="1" x14ac:dyDescent="0.25">
      <c r="A127" s="33" t="s">
        <v>3446</v>
      </c>
      <c r="B127" s="51">
        <v>0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/>
      <c r="I127" s="51">
        <v>0</v>
      </c>
      <c r="J127" s="51">
        <v>0</v>
      </c>
      <c r="K127" s="52">
        <f>I127+J127</f>
        <v>0</v>
      </c>
    </row>
    <row r="128" spans="1:11" s="33" customFormat="1" x14ac:dyDescent="0.25">
      <c r="A128" s="33" t="s">
        <v>3486</v>
      </c>
      <c r="B128" s="51">
        <v>0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/>
      <c r="I128" s="51">
        <v>0</v>
      </c>
      <c r="J128" s="51">
        <v>0</v>
      </c>
      <c r="K128" s="52">
        <f>I128+J128</f>
        <v>0</v>
      </c>
    </row>
    <row r="129" spans="1:11" s="33" customFormat="1" x14ac:dyDescent="0.25">
      <c r="A129" s="33" t="s">
        <v>3449</v>
      </c>
      <c r="B129" s="51">
        <v>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/>
      <c r="I129" s="51">
        <v>0</v>
      </c>
      <c r="J129" s="51">
        <v>0</v>
      </c>
      <c r="K129" s="52">
        <f>I129+J129</f>
        <v>0</v>
      </c>
    </row>
    <row r="130" spans="1:11" s="33" customFormat="1" x14ac:dyDescent="0.25">
      <c r="A130" s="33" t="s">
        <v>3487</v>
      </c>
      <c r="B130" s="51">
        <v>0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/>
      <c r="I130" s="51">
        <v>0</v>
      </c>
      <c r="J130" s="51">
        <v>0</v>
      </c>
      <c r="K130" s="52">
        <f>I130+J130</f>
        <v>0</v>
      </c>
    </row>
    <row r="131" spans="1:11" s="33" customFormat="1" x14ac:dyDescent="0.25">
      <c r="B131" s="51"/>
      <c r="C131" s="51"/>
      <c r="D131" s="51"/>
      <c r="E131" s="51"/>
      <c r="F131" s="51"/>
      <c r="G131" s="51"/>
      <c r="H131" s="51"/>
      <c r="I131" s="48"/>
      <c r="J131" s="48"/>
    </row>
    <row r="132" spans="1:11" s="33" customFormat="1" x14ac:dyDescent="0.25">
      <c r="A132" s="33" t="s">
        <v>3488</v>
      </c>
      <c r="B132" s="51">
        <f t="shared" ref="B132:G132" si="6">SUM(B110:B130)</f>
        <v>7706729</v>
      </c>
      <c r="C132" s="51">
        <f t="shared" si="6"/>
        <v>6826077</v>
      </c>
      <c r="D132" s="51">
        <f t="shared" si="6"/>
        <v>9265355</v>
      </c>
      <c r="E132" s="51">
        <f t="shared" si="6"/>
        <v>11302691</v>
      </c>
      <c r="F132" s="51">
        <f t="shared" si="6"/>
        <v>7377756.2999999998</v>
      </c>
      <c r="G132" s="51">
        <f t="shared" si="6"/>
        <v>10159233.189999999</v>
      </c>
      <c r="H132" s="51"/>
      <c r="I132" s="51">
        <f>SUM(I110:I130)</f>
        <v>10836622.063000001</v>
      </c>
      <c r="J132" s="51">
        <f>SUM(J110:J130)</f>
        <v>0</v>
      </c>
      <c r="K132" s="51">
        <f>SUM(K110:K130)</f>
        <v>10836622.063000001</v>
      </c>
    </row>
    <row r="133" spans="1:11" s="33" customFormat="1" x14ac:dyDescent="0.25">
      <c r="B133" s="51"/>
      <c r="C133" s="51"/>
      <c r="D133" s="51"/>
      <c r="E133" s="51"/>
      <c r="F133" s="51"/>
      <c r="G133" s="51"/>
      <c r="H133" s="51"/>
      <c r="I133" s="48"/>
      <c r="J133" s="48"/>
    </row>
    <row r="134" spans="1:11" s="33" customFormat="1" x14ac:dyDescent="0.25">
      <c r="A134" s="33" t="s">
        <v>3452</v>
      </c>
      <c r="B134" s="51">
        <f>B106-B132</f>
        <v>5286487</v>
      </c>
      <c r="C134" s="51">
        <f t="shared" ref="C134:E134" si="7">C106-C132</f>
        <v>3881612</v>
      </c>
      <c r="D134" s="51">
        <f t="shared" si="7"/>
        <v>1388415</v>
      </c>
      <c r="E134" s="51">
        <f t="shared" si="7"/>
        <v>1325933</v>
      </c>
      <c r="F134" s="51">
        <f>F106-F132</f>
        <v>1129783.7399999993</v>
      </c>
      <c r="G134" s="58"/>
      <c r="H134" s="51"/>
      <c r="I134" s="51">
        <f>I106-I132</f>
        <v>-497697.06300000101</v>
      </c>
      <c r="J134" s="51">
        <f>J106-J132</f>
        <v>0</v>
      </c>
      <c r="K134" s="51">
        <f>K106-K132</f>
        <v>-497697.06300000101</v>
      </c>
    </row>
    <row r="135" spans="1:11" s="33" customFormat="1" x14ac:dyDescent="0.25">
      <c r="B135" s="51"/>
      <c r="C135" s="51"/>
      <c r="D135" s="51"/>
      <c r="E135" s="51"/>
      <c r="F135" s="51"/>
      <c r="G135" s="58"/>
      <c r="H135" s="51"/>
      <c r="I135" s="51"/>
      <c r="J135" s="51"/>
    </row>
    <row r="136" spans="1:11" s="33" customFormat="1" x14ac:dyDescent="0.25">
      <c r="A136" s="55" t="s">
        <v>3453</v>
      </c>
      <c r="B136" s="51">
        <v>0</v>
      </c>
      <c r="C136" s="51">
        <v>0</v>
      </c>
      <c r="D136" s="51">
        <v>0</v>
      </c>
      <c r="E136" s="51">
        <v>0</v>
      </c>
      <c r="F136" s="51">
        <v>0</v>
      </c>
      <c r="G136" s="51"/>
      <c r="H136" s="51"/>
      <c r="I136" s="51">
        <v>0</v>
      </c>
      <c r="J136" s="51">
        <f>H136+I136</f>
        <v>0</v>
      </c>
      <c r="K136" s="52">
        <f>I136+J136</f>
        <v>0</v>
      </c>
    </row>
    <row r="137" spans="1:11" s="33" customFormat="1" x14ac:dyDescent="0.25">
      <c r="B137" s="51"/>
      <c r="C137" s="51"/>
      <c r="D137" s="51"/>
      <c r="E137" s="51"/>
      <c r="F137" s="51"/>
      <c r="G137" s="51"/>
      <c r="H137" s="51"/>
      <c r="I137" s="48"/>
      <c r="J137" s="48"/>
    </row>
    <row r="138" spans="1:11" s="33" customFormat="1" x14ac:dyDescent="0.25">
      <c r="A138" s="33" t="s">
        <v>3454</v>
      </c>
      <c r="B138" s="51">
        <v>0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/>
      <c r="I138" s="51">
        <v>0</v>
      </c>
      <c r="J138" s="51">
        <v>0</v>
      </c>
      <c r="K138" s="51">
        <v>0</v>
      </c>
    </row>
    <row r="139" spans="1:11" s="33" customFormat="1" x14ac:dyDescent="0.25">
      <c r="B139" s="51"/>
      <c r="C139" s="51"/>
      <c r="D139" s="51"/>
      <c r="E139" s="51"/>
      <c r="F139" s="51"/>
      <c r="G139" s="51"/>
      <c r="H139" s="51"/>
      <c r="I139" s="48"/>
      <c r="J139" s="48"/>
    </row>
    <row r="140" spans="1:11" s="33" customFormat="1" x14ac:dyDescent="0.25">
      <c r="B140" s="51"/>
      <c r="C140" s="51"/>
      <c r="D140" s="51"/>
      <c r="E140" s="51"/>
      <c r="F140" s="51"/>
      <c r="G140" s="51"/>
      <c r="H140" s="51"/>
      <c r="I140" s="48"/>
      <c r="J140" s="48"/>
    </row>
    <row r="141" spans="1:11" s="33" customFormat="1" x14ac:dyDescent="0.25">
      <c r="A141" s="33" t="s">
        <v>3489</v>
      </c>
      <c r="G141" s="59"/>
      <c r="I141" s="48"/>
      <c r="J141" s="48"/>
    </row>
    <row r="142" spans="1:11" s="33" customFormat="1" x14ac:dyDescent="0.25">
      <c r="A142" s="33" t="s">
        <v>3490</v>
      </c>
      <c r="B142" s="59">
        <f>+B16+B18</f>
        <v>12674039</v>
      </c>
      <c r="C142" s="59">
        <f t="shared" ref="C142:G142" si="8">+C16+C18</f>
        <v>14540628</v>
      </c>
      <c r="D142" s="59">
        <f t="shared" si="8"/>
        <v>16536222</v>
      </c>
      <c r="E142" s="59">
        <f t="shared" si="8"/>
        <v>15723432</v>
      </c>
      <c r="F142" s="59">
        <f t="shared" si="8"/>
        <v>12024515.310000001</v>
      </c>
      <c r="G142" s="59">
        <f t="shared" si="8"/>
        <v>15185739</v>
      </c>
      <c r="H142" s="59"/>
      <c r="I142" s="59">
        <f>+I16+I18</f>
        <v>15487068</v>
      </c>
      <c r="J142" s="59">
        <f>+J16+J18</f>
        <v>0</v>
      </c>
      <c r="K142" s="59">
        <f>+K16+K18</f>
        <v>15487068</v>
      </c>
    </row>
    <row r="143" spans="1:11" s="33" customFormat="1" x14ac:dyDescent="0.25">
      <c r="A143" s="33" t="s">
        <v>3491</v>
      </c>
      <c r="B143" s="59">
        <f t="shared" ref="B143:G143" si="9">B63+B64</f>
        <v>420123</v>
      </c>
      <c r="C143" s="59">
        <f t="shared" si="9"/>
        <v>715721</v>
      </c>
      <c r="D143" s="59">
        <f t="shared" si="9"/>
        <v>343484</v>
      </c>
      <c r="E143" s="59">
        <f t="shared" si="9"/>
        <v>380354</v>
      </c>
      <c r="F143" s="59">
        <f t="shared" si="9"/>
        <v>246484.65999999997</v>
      </c>
      <c r="G143" s="59">
        <f t="shared" si="9"/>
        <v>313710</v>
      </c>
      <c r="H143" s="59"/>
      <c r="I143" s="59">
        <f>I63+I64</f>
        <v>343800</v>
      </c>
      <c r="J143" s="59">
        <f>J63+J64</f>
        <v>0</v>
      </c>
      <c r="K143" s="59">
        <f>K63+K64</f>
        <v>343800</v>
      </c>
    </row>
    <row r="144" spans="1:11" s="33" customFormat="1" x14ac:dyDescent="0.25">
      <c r="A144" s="33" t="s">
        <v>3492</v>
      </c>
      <c r="B144" s="59">
        <f t="shared" ref="B144:G144" si="10">+B78+B83</f>
        <v>1204687</v>
      </c>
      <c r="C144" s="59">
        <f t="shared" si="10"/>
        <v>1319485</v>
      </c>
      <c r="D144" s="59">
        <f t="shared" si="10"/>
        <v>1487871</v>
      </c>
      <c r="E144" s="59">
        <f t="shared" si="10"/>
        <v>1593219</v>
      </c>
      <c r="F144" s="59">
        <f t="shared" si="10"/>
        <v>744160.94000000006</v>
      </c>
      <c r="G144" s="59">
        <f t="shared" si="10"/>
        <v>889935</v>
      </c>
      <c r="H144" s="59"/>
      <c r="I144" s="59">
        <f>+I78+I83</f>
        <v>1185403</v>
      </c>
      <c r="J144" s="59">
        <f>+J78+J83</f>
        <v>0</v>
      </c>
      <c r="K144" s="59">
        <f>+K78+K83</f>
        <v>1185403</v>
      </c>
    </row>
    <row r="145" spans="1:11" s="33" customFormat="1" x14ac:dyDescent="0.25">
      <c r="A145" s="33" t="s">
        <v>3493</v>
      </c>
      <c r="B145" s="59">
        <f>+B106</f>
        <v>12993216</v>
      </c>
      <c r="C145" s="59">
        <f t="shared" ref="C145:K145" si="11">+C106</f>
        <v>10707689</v>
      </c>
      <c r="D145" s="59">
        <f t="shared" si="11"/>
        <v>10653770</v>
      </c>
      <c r="E145" s="59">
        <f t="shared" si="11"/>
        <v>12628624</v>
      </c>
      <c r="F145" s="59">
        <f t="shared" si="11"/>
        <v>8507540.0399999991</v>
      </c>
      <c r="G145" s="59">
        <f t="shared" si="11"/>
        <v>9912552</v>
      </c>
      <c r="H145" s="59"/>
      <c r="I145" s="59">
        <f t="shared" si="11"/>
        <v>10338925</v>
      </c>
      <c r="J145" s="59">
        <f t="shared" si="11"/>
        <v>0</v>
      </c>
      <c r="K145" s="59">
        <f t="shared" si="11"/>
        <v>10338925</v>
      </c>
    </row>
    <row r="146" spans="1:11" s="33" customFormat="1" x14ac:dyDescent="0.25">
      <c r="A146" s="33" t="s">
        <v>109</v>
      </c>
      <c r="B146" s="59">
        <f t="shared" ref="B146:G146" si="12">SUM(B142:B145)</f>
        <v>27292065</v>
      </c>
      <c r="C146" s="59">
        <f t="shared" si="12"/>
        <v>27283523</v>
      </c>
      <c r="D146" s="59">
        <f t="shared" si="12"/>
        <v>29021347</v>
      </c>
      <c r="E146" s="59">
        <f t="shared" si="12"/>
        <v>30325629</v>
      </c>
      <c r="F146" s="59">
        <f t="shared" si="12"/>
        <v>21522700.949999999</v>
      </c>
      <c r="G146" s="59">
        <f t="shared" si="12"/>
        <v>26301936</v>
      </c>
      <c r="H146" s="59"/>
      <c r="I146" s="59">
        <f>SUM(I142:I145)</f>
        <v>27355196</v>
      </c>
      <c r="J146" s="59">
        <f>SUM(J142:J145)</f>
        <v>0</v>
      </c>
      <c r="K146" s="59">
        <f>SUM(K142:K145)</f>
        <v>27355196</v>
      </c>
    </row>
    <row r="147" spans="1:11" s="33" customFormat="1" x14ac:dyDescent="0.25">
      <c r="G147" s="59"/>
      <c r="I147" s="48"/>
      <c r="J147" s="48"/>
    </row>
    <row r="148" spans="1:11" s="33" customFormat="1" x14ac:dyDescent="0.25">
      <c r="A148" s="33" t="s">
        <v>3494</v>
      </c>
      <c r="G148" s="59"/>
      <c r="I148" s="48"/>
      <c r="J148" s="48"/>
    </row>
    <row r="149" spans="1:11" s="33" customFormat="1" x14ac:dyDescent="0.25">
      <c r="A149" s="33" t="s">
        <v>3490</v>
      </c>
      <c r="B149" s="59">
        <f t="shared" ref="B149:G149" si="13">+B50</f>
        <v>10834697</v>
      </c>
      <c r="C149" s="59">
        <f t="shared" si="13"/>
        <v>12138109</v>
      </c>
      <c r="D149" s="59">
        <f t="shared" si="13"/>
        <v>12990329</v>
      </c>
      <c r="E149" s="59">
        <f t="shared" si="13"/>
        <v>14607790</v>
      </c>
      <c r="F149" s="59">
        <f t="shared" si="13"/>
        <v>9370457.879999999</v>
      </c>
      <c r="G149" s="59">
        <f t="shared" si="13"/>
        <v>10645456.549999999</v>
      </c>
      <c r="H149" s="59"/>
      <c r="I149" s="59">
        <f>+I50</f>
        <v>11601560.269000001</v>
      </c>
      <c r="J149" s="59">
        <f>+J50</f>
        <v>257602.76</v>
      </c>
      <c r="K149" s="59">
        <f>+K50</f>
        <v>11813403.029000003</v>
      </c>
    </row>
    <row r="150" spans="1:11" s="33" customFormat="1" x14ac:dyDescent="0.25">
      <c r="A150" s="33" t="s">
        <v>3491</v>
      </c>
      <c r="B150" s="59">
        <f t="shared" ref="B150:G150" si="14">B65</f>
        <v>490805</v>
      </c>
      <c r="C150" s="59">
        <f t="shared" si="14"/>
        <v>268959</v>
      </c>
      <c r="D150" s="59">
        <f t="shared" si="14"/>
        <v>306113</v>
      </c>
      <c r="E150" s="59">
        <f t="shared" si="14"/>
        <v>345332</v>
      </c>
      <c r="F150" s="59">
        <f t="shared" si="14"/>
        <v>272912.14</v>
      </c>
      <c r="G150" s="59">
        <f t="shared" si="14"/>
        <v>315277</v>
      </c>
      <c r="H150" s="59"/>
      <c r="I150" s="59">
        <f>I65</f>
        <v>313514.07</v>
      </c>
      <c r="J150" s="59">
        <f>J65</f>
        <v>0</v>
      </c>
      <c r="K150" s="59">
        <f>K65</f>
        <v>313514.07</v>
      </c>
    </row>
    <row r="151" spans="1:11" s="33" customFormat="1" x14ac:dyDescent="0.25">
      <c r="A151" s="33" t="s">
        <v>3492</v>
      </c>
      <c r="B151" s="59">
        <f t="shared" ref="B151:G151" si="15">+B93</f>
        <v>821490</v>
      </c>
      <c r="C151" s="59">
        <f t="shared" si="15"/>
        <v>1128565</v>
      </c>
      <c r="D151" s="59">
        <f t="shared" si="15"/>
        <v>1219496</v>
      </c>
      <c r="E151" s="59">
        <f t="shared" si="15"/>
        <v>1593221</v>
      </c>
      <c r="F151" s="59">
        <f t="shared" si="15"/>
        <v>1095687.96</v>
      </c>
      <c r="G151" s="59">
        <f t="shared" si="15"/>
        <v>1224728.27</v>
      </c>
      <c r="H151" s="59"/>
      <c r="I151" s="59">
        <f>+I93</f>
        <v>1410755.2619999999</v>
      </c>
      <c r="J151" s="59">
        <f>+J93</f>
        <v>75000</v>
      </c>
      <c r="K151" s="59">
        <f>+K93</f>
        <v>1485755.2619999999</v>
      </c>
    </row>
    <row r="152" spans="1:11" s="33" customFormat="1" x14ac:dyDescent="0.25">
      <c r="A152" s="33" t="s">
        <v>3493</v>
      </c>
      <c r="B152" s="59">
        <f t="shared" ref="B152:G152" si="16">+B132</f>
        <v>7706729</v>
      </c>
      <c r="C152" s="59">
        <f t="shared" si="16"/>
        <v>6826077</v>
      </c>
      <c r="D152" s="59">
        <f t="shared" si="16"/>
        <v>9265355</v>
      </c>
      <c r="E152" s="59">
        <f t="shared" si="16"/>
        <v>11302691</v>
      </c>
      <c r="F152" s="59">
        <f t="shared" si="16"/>
        <v>7377756.2999999998</v>
      </c>
      <c r="G152" s="59">
        <f t="shared" si="16"/>
        <v>10159233.189999999</v>
      </c>
      <c r="H152" s="59"/>
      <c r="I152" s="59">
        <f>+I132</f>
        <v>10836622.063000001</v>
      </c>
      <c r="J152" s="59">
        <f>+J132</f>
        <v>0</v>
      </c>
      <c r="K152" s="59">
        <f>+K132</f>
        <v>10836622.063000001</v>
      </c>
    </row>
    <row r="153" spans="1:11" s="33" customFormat="1" x14ac:dyDescent="0.25">
      <c r="A153" s="33" t="s">
        <v>109</v>
      </c>
      <c r="B153" s="59">
        <f t="shared" ref="B153:G153" si="17">SUM(B149:B152)</f>
        <v>19853721</v>
      </c>
      <c r="C153" s="59">
        <f t="shared" si="17"/>
        <v>20361710</v>
      </c>
      <c r="D153" s="59">
        <f t="shared" si="17"/>
        <v>23781293</v>
      </c>
      <c r="E153" s="59">
        <f t="shared" si="17"/>
        <v>27849034</v>
      </c>
      <c r="F153" s="59">
        <f t="shared" si="17"/>
        <v>18116814.280000001</v>
      </c>
      <c r="G153" s="59">
        <f t="shared" si="17"/>
        <v>22344695.009999998</v>
      </c>
      <c r="H153" s="59"/>
      <c r="I153" s="59">
        <f>SUM(I149:I152)</f>
        <v>24162451.664000005</v>
      </c>
      <c r="J153" s="59">
        <f>SUM(J149:J152)</f>
        <v>332602.76</v>
      </c>
      <c r="K153" s="59">
        <f>SUM(K149:K152)</f>
        <v>24449294.424000002</v>
      </c>
    </row>
    <row r="154" spans="1:11" s="33" customFormat="1" x14ac:dyDescent="0.25">
      <c r="I154" s="48"/>
      <c r="J154" s="48"/>
    </row>
    <row r="155" spans="1:11" s="33" customFormat="1" x14ac:dyDescent="0.25">
      <c r="A155" s="33" t="s">
        <v>3495</v>
      </c>
      <c r="B155" s="59">
        <f>+B146-B153</f>
        <v>7438344</v>
      </c>
      <c r="C155" s="59">
        <f>+C146-C153</f>
        <v>6921813</v>
      </c>
      <c r="D155" s="59">
        <f t="shared" ref="D155:G155" si="18">+D146-D153</f>
        <v>5240054</v>
      </c>
      <c r="E155" s="59">
        <f t="shared" si="18"/>
        <v>2476595</v>
      </c>
      <c r="F155" s="59">
        <f t="shared" si="18"/>
        <v>3405886.6699999981</v>
      </c>
      <c r="G155" s="59">
        <f t="shared" si="18"/>
        <v>3957240.9900000021</v>
      </c>
      <c r="H155" s="59"/>
      <c r="I155" s="59">
        <f>+I146-I153</f>
        <v>3192744.3359999955</v>
      </c>
      <c r="J155" s="59">
        <f>+J146-J153</f>
        <v>-332602.76</v>
      </c>
      <c r="K155" s="59">
        <f>+K146-K153</f>
        <v>2905901.5759999976</v>
      </c>
    </row>
    <row r="160" spans="1:11" ht="21" x14ac:dyDescent="0.35">
      <c r="D160" s="71" t="s">
        <v>3784</v>
      </c>
    </row>
    <row r="162" spans="1:11" s="33" customFormat="1" x14ac:dyDescent="0.25">
      <c r="A162" s="49" t="s">
        <v>3418</v>
      </c>
      <c r="C162" s="50" t="s">
        <v>3419</v>
      </c>
      <c r="D162" s="50"/>
      <c r="H162" s="50"/>
      <c r="I162" s="48"/>
      <c r="J162" s="48"/>
    </row>
    <row r="163" spans="1:11" s="33" customFormat="1" x14ac:dyDescent="0.25">
      <c r="A163" s="49"/>
      <c r="B163" s="51"/>
      <c r="C163" s="50"/>
      <c r="D163" s="50"/>
      <c r="E163" s="51"/>
      <c r="F163" s="51"/>
      <c r="H163" s="50"/>
      <c r="I163" s="48"/>
      <c r="J163" s="48"/>
    </row>
    <row r="164" spans="1:11" s="33" customFormat="1" x14ac:dyDescent="0.25">
      <c r="A164" s="39" t="s">
        <v>3420</v>
      </c>
      <c r="B164" s="51">
        <v>0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/>
      <c r="I164" s="51">
        <v>0</v>
      </c>
      <c r="J164" s="51">
        <v>0</v>
      </c>
      <c r="K164" s="52">
        <v>0</v>
      </c>
    </row>
    <row r="165" spans="1:11" s="33" customFormat="1" x14ac:dyDescent="0.25">
      <c r="B165" s="53"/>
      <c r="E165" s="53"/>
      <c r="F165" s="53"/>
      <c r="G165" s="54"/>
      <c r="I165" s="48"/>
      <c r="J165" s="48"/>
    </row>
    <row r="166" spans="1:11" s="33" customFormat="1" x14ac:dyDescent="0.25">
      <c r="A166" s="55" t="s">
        <v>3421</v>
      </c>
      <c r="B166" s="51">
        <f>('General Fund Revenue'!C238)-B168</f>
        <v>11074039</v>
      </c>
      <c r="C166" s="51">
        <f>('General Fund Revenue'!D238)-C168</f>
        <v>12480985</v>
      </c>
      <c r="D166" s="51">
        <f>('General Fund Revenue'!E238)-D168</f>
        <v>14476579</v>
      </c>
      <c r="E166" s="51">
        <f>('General Fund Revenue'!F238)-E168</f>
        <v>12079859</v>
      </c>
      <c r="F166" s="51">
        <f>('General Fund Revenue'!G238)-F168</f>
        <v>10479783.030000001</v>
      </c>
      <c r="G166" s="51">
        <f>('General Fund Revenue'!H238)-G168</f>
        <v>11542166</v>
      </c>
      <c r="H166" s="51"/>
      <c r="I166" s="51">
        <f>('General Fund Revenue'!J238)-I168</f>
        <v>11843495</v>
      </c>
      <c r="J166" s="51">
        <f>('General Fund Revenue'!K238)-J168</f>
        <v>0</v>
      </c>
      <c r="K166" s="51">
        <f>('General Fund Revenue'!L238)-K168</f>
        <v>11843495</v>
      </c>
    </row>
    <row r="167" spans="1:11" s="33" customFormat="1" x14ac:dyDescent="0.25">
      <c r="B167" s="51"/>
      <c r="C167" s="51"/>
      <c r="D167" s="51"/>
      <c r="E167" s="51"/>
      <c r="F167" s="51"/>
      <c r="G167" s="51"/>
      <c r="H167" s="51"/>
      <c r="I167" s="48"/>
      <c r="J167" s="48"/>
    </row>
    <row r="168" spans="1:11" s="33" customFormat="1" x14ac:dyDescent="0.25">
      <c r="A168" s="55" t="s">
        <v>3422</v>
      </c>
      <c r="B168" s="51">
        <f>'General Fund Revenue'!C45</f>
        <v>1600000</v>
      </c>
      <c r="C168" s="51">
        <f>'General Fund Revenue'!D45</f>
        <v>2059643</v>
      </c>
      <c r="D168" s="51">
        <f>'General Fund Revenue'!E45</f>
        <v>2059643</v>
      </c>
      <c r="E168" s="51">
        <f>'General Fund Revenue'!F45</f>
        <v>3643573</v>
      </c>
      <c r="F168" s="51">
        <f>'General Fund Revenue'!G45</f>
        <v>1544732.28</v>
      </c>
      <c r="G168" s="51">
        <f>'General Fund Revenue'!H45</f>
        <v>3643573</v>
      </c>
      <c r="H168" s="51"/>
      <c r="I168" s="51">
        <f>'General Fund Revenue'!J45</f>
        <v>3643573</v>
      </c>
      <c r="J168" s="51">
        <f>'General Fund Revenue'!K45</f>
        <v>0</v>
      </c>
      <c r="K168" s="51">
        <f>'General Fund Revenue'!L45</f>
        <v>3643573</v>
      </c>
    </row>
    <row r="169" spans="1:11" s="33" customFormat="1" x14ac:dyDescent="0.25">
      <c r="B169" s="51"/>
      <c r="C169" s="51"/>
      <c r="D169" s="51"/>
      <c r="E169" s="51"/>
      <c r="F169" s="51"/>
      <c r="G169" s="51"/>
      <c r="H169" s="51"/>
      <c r="I169" s="48"/>
      <c r="J169" s="48"/>
    </row>
    <row r="170" spans="1:11" s="33" customFormat="1" x14ac:dyDescent="0.25">
      <c r="A170" s="55" t="s">
        <v>3423</v>
      </c>
      <c r="B170" s="51"/>
      <c r="C170" s="51"/>
      <c r="D170" s="51"/>
      <c r="E170" s="51"/>
      <c r="F170" s="51"/>
      <c r="G170" s="51"/>
      <c r="H170" s="51"/>
      <c r="I170" s="48"/>
      <c r="J170" s="48"/>
    </row>
    <row r="171" spans="1:11" s="33" customFormat="1" x14ac:dyDescent="0.25">
      <c r="B171" s="51"/>
      <c r="C171" s="51"/>
      <c r="D171" s="51"/>
      <c r="E171" s="51"/>
      <c r="F171" s="51"/>
      <c r="G171" s="51"/>
      <c r="H171" s="51"/>
      <c r="I171" s="48"/>
      <c r="J171" s="48"/>
    </row>
    <row r="172" spans="1:11" s="33" customFormat="1" x14ac:dyDescent="0.25">
      <c r="A172" s="33" t="s">
        <v>3424</v>
      </c>
      <c r="B172" s="51">
        <f>Admin!C112</f>
        <v>292410</v>
      </c>
      <c r="C172" s="51">
        <f>Admin!D112</f>
        <v>495339</v>
      </c>
      <c r="D172" s="51">
        <f>Admin!E112</f>
        <v>410794</v>
      </c>
      <c r="E172" s="51">
        <f>Admin!F112</f>
        <v>420027</v>
      </c>
      <c r="F172" s="51">
        <f>Admin!G112</f>
        <v>449523.93</v>
      </c>
      <c r="G172" s="51">
        <f>Admin!H112</f>
        <v>385082</v>
      </c>
      <c r="H172" s="51"/>
      <c r="I172" s="51">
        <f>Admin!J112</f>
        <v>321829.56</v>
      </c>
      <c r="J172" s="51">
        <f>Admin!K112</f>
        <v>0</v>
      </c>
      <c r="K172" s="51">
        <f>Admin!L112</f>
        <v>321829.56</v>
      </c>
    </row>
    <row r="173" spans="1:11" s="33" customFormat="1" x14ac:dyDescent="0.25">
      <c r="A173" s="33" t="s">
        <v>3425</v>
      </c>
      <c r="B173" s="51">
        <f>'Non Departmental'!C73</f>
        <v>148851</v>
      </c>
      <c r="C173" s="51">
        <f>'Non Departmental'!D73</f>
        <v>231610</v>
      </c>
      <c r="D173" s="51">
        <f>'Non Departmental'!E73</f>
        <v>367357</v>
      </c>
      <c r="E173" s="51">
        <f>'Non Departmental'!F73</f>
        <v>885796</v>
      </c>
      <c r="F173" s="51">
        <f>'Non Departmental'!G73</f>
        <v>301146.31</v>
      </c>
      <c r="G173" s="51">
        <f>'Non Departmental'!H73</f>
        <v>337986</v>
      </c>
      <c r="H173" s="51"/>
      <c r="I173" s="51">
        <f>'Non Departmental'!J73</f>
        <v>138250</v>
      </c>
      <c r="J173" s="51">
        <f>'Non Departmental'!K73</f>
        <v>40350</v>
      </c>
      <c r="K173" s="51">
        <f>'Non Departmental'!L73</f>
        <v>178600</v>
      </c>
    </row>
    <row r="174" spans="1:11" s="33" customFormat="1" x14ac:dyDescent="0.25">
      <c r="A174" s="33" t="s">
        <v>3426</v>
      </c>
      <c r="B174" s="51">
        <f>'Development Service'!C116</f>
        <v>887058</v>
      </c>
      <c r="C174" s="51">
        <f>'Development Service'!D116</f>
        <v>1038672</v>
      </c>
      <c r="D174" s="51">
        <f>'Development Service'!E116</f>
        <v>1056120</v>
      </c>
      <c r="E174" s="51">
        <f>'Development Service'!F116</f>
        <v>1272088</v>
      </c>
      <c r="F174" s="51">
        <f>'Development Service'!G116</f>
        <v>806193.95999999985</v>
      </c>
      <c r="G174" s="51">
        <f>'Development Service'!H116</f>
        <v>915371.81</v>
      </c>
      <c r="H174" s="51"/>
      <c r="I174" s="51">
        <f>'Development Service'!J116</f>
        <v>820639.08700000006</v>
      </c>
      <c r="J174" s="51">
        <f>'Development Service'!K116</f>
        <v>0</v>
      </c>
      <c r="K174" s="51">
        <f>'Development Service'!L116</f>
        <v>820639.08700000006</v>
      </c>
    </row>
    <row r="175" spans="1:11" s="33" customFormat="1" x14ac:dyDescent="0.25">
      <c r="A175" s="33" t="s">
        <v>3427</v>
      </c>
      <c r="B175" s="51">
        <f>Finance!C97</f>
        <v>297441</v>
      </c>
      <c r="C175" s="51">
        <f>Finance!D97</f>
        <v>412206</v>
      </c>
      <c r="D175" s="51">
        <f>Finance!E97</f>
        <v>693094</v>
      </c>
      <c r="E175" s="51">
        <f>Finance!F97</f>
        <v>675039</v>
      </c>
      <c r="F175" s="51">
        <f>Finance!G97</f>
        <v>373678.92999999993</v>
      </c>
      <c r="G175" s="51">
        <f>Finance!H97</f>
        <v>466538</v>
      </c>
      <c r="H175" s="51"/>
      <c r="I175" s="51">
        <f>Finance!J97</f>
        <v>524300.21200000006</v>
      </c>
      <c r="J175" s="51">
        <f>Finance!K97</f>
        <v>0</v>
      </c>
      <c r="K175" s="51">
        <f>Finance!L97</f>
        <v>478540.212</v>
      </c>
    </row>
    <row r="176" spans="1:11" s="33" customFormat="1" x14ac:dyDescent="0.25">
      <c r="A176" s="33" t="s">
        <v>3428</v>
      </c>
      <c r="B176" s="51">
        <f>HR!C97</f>
        <v>154903</v>
      </c>
      <c r="C176" s="51">
        <f>HR!D97</f>
        <v>168185</v>
      </c>
      <c r="D176" s="51">
        <f>HR!E97</f>
        <v>172100</v>
      </c>
      <c r="E176" s="51">
        <f>HR!F97</f>
        <v>202444</v>
      </c>
      <c r="F176" s="51">
        <f>HR!G97</f>
        <v>131694.42000000001</v>
      </c>
      <c r="G176" s="51">
        <f>HR!H97</f>
        <v>167678.35999999999</v>
      </c>
      <c r="H176" s="51"/>
      <c r="I176" s="51">
        <f>HR!J97</f>
        <v>204224.32600000003</v>
      </c>
      <c r="J176" s="51">
        <f>HR!K97</f>
        <v>0</v>
      </c>
      <c r="K176" s="51">
        <f>HR!L97</f>
        <v>204224.32600000003</v>
      </c>
    </row>
    <row r="177" spans="1:11" s="33" customFormat="1" x14ac:dyDescent="0.25">
      <c r="A177" s="33" t="s">
        <v>3429</v>
      </c>
      <c r="B177" s="51">
        <f>Court!C91</f>
        <v>174735</v>
      </c>
      <c r="C177" s="51">
        <f>Court!D91</f>
        <v>196093</v>
      </c>
      <c r="D177" s="51">
        <f>Court!E91</f>
        <v>185132</v>
      </c>
      <c r="E177" s="51">
        <f>Court!F91</f>
        <v>232507</v>
      </c>
      <c r="F177" s="51">
        <f>Court!G91</f>
        <v>172377.15000000005</v>
      </c>
      <c r="G177" s="51">
        <f>Court!H91</f>
        <v>223808</v>
      </c>
      <c r="H177" s="51"/>
      <c r="I177" s="51">
        <f>Court!J91</f>
        <v>229029.00599999999</v>
      </c>
      <c r="J177" s="51">
        <f>Court!K91</f>
        <v>0</v>
      </c>
      <c r="K177" s="51">
        <f>Court!L91</f>
        <v>229029.00599999999</v>
      </c>
    </row>
    <row r="178" spans="1:11" s="33" customFormat="1" x14ac:dyDescent="0.25">
      <c r="A178" s="33" t="s">
        <v>3430</v>
      </c>
      <c r="B178" s="51">
        <f>'City Secretary'!C77</f>
        <v>121026</v>
      </c>
      <c r="C178" s="51">
        <f>'City Secretary'!D77</f>
        <v>118461</v>
      </c>
      <c r="D178" s="51">
        <f>'City Secretary'!E77</f>
        <v>154175</v>
      </c>
      <c r="E178" s="51">
        <f>'City Secretary'!F77</f>
        <v>150634</v>
      </c>
      <c r="F178" s="51">
        <f>'City Secretary'!G77</f>
        <v>182703.03000000003</v>
      </c>
      <c r="G178" s="51">
        <f>'City Secretary'!H77</f>
        <v>201527</v>
      </c>
      <c r="H178" s="51"/>
      <c r="I178" s="51">
        <f>'City Secretary'!J77</f>
        <v>177197.37599999999</v>
      </c>
      <c r="J178" s="51">
        <f>'City Secretary'!K77</f>
        <v>0</v>
      </c>
      <c r="K178" s="51">
        <f>'City Secretary'!L77</f>
        <v>177197.37599999999</v>
      </c>
    </row>
    <row r="179" spans="1:11" s="33" customFormat="1" x14ac:dyDescent="0.25">
      <c r="A179" s="33" t="s">
        <v>3431</v>
      </c>
      <c r="B179" s="51">
        <f>'Economic Development'!C112</f>
        <v>285913</v>
      </c>
      <c r="C179" s="51">
        <f>'Economic Development'!D112</f>
        <v>256923</v>
      </c>
      <c r="D179" s="51">
        <f>'Economic Development'!E112</f>
        <v>254570</v>
      </c>
      <c r="E179" s="51">
        <f>'Economic Development'!F112</f>
        <v>348326</v>
      </c>
      <c r="F179" s="51">
        <f>'Economic Development'!G112</f>
        <v>260513.57</v>
      </c>
      <c r="G179" s="51">
        <f>'Economic Development'!H112</f>
        <v>301366.62</v>
      </c>
      <c r="H179" s="51"/>
      <c r="I179" s="51">
        <f>'Economic Development'!J112</f>
        <v>381495.82299999997</v>
      </c>
      <c r="J179" s="51">
        <f>'Economic Development'!K112</f>
        <v>5000</v>
      </c>
      <c r="K179" s="51">
        <f>'Economic Development'!L112</f>
        <v>386495.82299999997</v>
      </c>
    </row>
    <row r="180" spans="1:11" s="33" customFormat="1" x14ac:dyDescent="0.25">
      <c r="A180" s="33" t="s">
        <v>3432</v>
      </c>
      <c r="B180" s="51">
        <f>Legal!C95</f>
        <v>209267</v>
      </c>
      <c r="C180" s="51">
        <f>Legal!D95</f>
        <v>427268</v>
      </c>
      <c r="D180" s="51">
        <f>Legal!E95</f>
        <v>474430</v>
      </c>
      <c r="E180" s="51">
        <f>Legal!F95</f>
        <v>405000</v>
      </c>
      <c r="F180" s="51">
        <f>Legal!G95</f>
        <v>328524.51</v>
      </c>
      <c r="G180" s="51">
        <f>Legal!H95</f>
        <v>405000</v>
      </c>
      <c r="H180" s="51"/>
      <c r="I180" s="51">
        <f>Legal!J95</f>
        <v>450000</v>
      </c>
      <c r="J180" s="51">
        <f>Legal!K95</f>
        <v>0</v>
      </c>
      <c r="K180" s="51">
        <f>Legal!L95</f>
        <v>450000</v>
      </c>
    </row>
    <row r="181" spans="1:11" s="33" customFormat="1" x14ac:dyDescent="0.25">
      <c r="A181" s="33" t="s">
        <v>3433</v>
      </c>
      <c r="B181" s="51">
        <f>'Police Department'!C170</f>
        <v>2206657</v>
      </c>
      <c r="C181" s="51">
        <f>'Police Department'!D170</f>
        <v>2833629</v>
      </c>
      <c r="D181" s="51">
        <f>'Police Department'!E170</f>
        <v>3028028</v>
      </c>
      <c r="E181" s="51">
        <f>'Police Department'!F170</f>
        <v>3755883</v>
      </c>
      <c r="F181" s="51">
        <f>'Police Department'!G170</f>
        <v>2734794.5</v>
      </c>
      <c r="G181" s="51">
        <f>'Police Department'!H170</f>
        <v>3145090</v>
      </c>
      <c r="H181" s="51"/>
      <c r="I181" s="51">
        <f>'Police Department'!J170</f>
        <v>3456088.7690000003</v>
      </c>
      <c r="J181" s="51">
        <f>'Police Department'!K170</f>
        <v>206702.76</v>
      </c>
      <c r="K181" s="51">
        <f>'Police Department'!L170</f>
        <v>3662791.5290000001</v>
      </c>
    </row>
    <row r="182" spans="1:11" s="33" customFormat="1" x14ac:dyDescent="0.25">
      <c r="A182" s="33" t="s">
        <v>3434</v>
      </c>
      <c r="B182" s="51">
        <f>'Code Enforcement'!C99</f>
        <v>0</v>
      </c>
      <c r="C182" s="51">
        <f>'Code Enforcement'!D99</f>
        <v>0</v>
      </c>
      <c r="D182" s="51">
        <f>'Code Enforcement'!E99</f>
        <v>0</v>
      </c>
      <c r="E182" s="51">
        <f>'Code Enforcement'!F99</f>
        <v>243714</v>
      </c>
      <c r="F182" s="51">
        <f>'Code Enforcement'!G99</f>
        <v>180073.36999999997</v>
      </c>
      <c r="G182" s="51">
        <f>'Code Enforcement'!H99</f>
        <v>200834</v>
      </c>
      <c r="H182" s="51"/>
      <c r="I182" s="51">
        <f>'Code Enforcement'!J99</f>
        <v>215095.29800000001</v>
      </c>
      <c r="J182" s="51">
        <f>'Code Enforcement'!K99</f>
        <v>5000</v>
      </c>
      <c r="K182" s="51">
        <f>'Code Enforcement'!L99</f>
        <v>220095.29800000001</v>
      </c>
    </row>
    <row r="183" spans="1:11" s="33" customFormat="1" x14ac:dyDescent="0.25">
      <c r="A183" s="33" t="s">
        <v>3435</v>
      </c>
      <c r="B183" s="51">
        <f>Dispatch!C94</f>
        <v>372680</v>
      </c>
      <c r="C183" s="51">
        <f>Dispatch!D94</f>
        <v>508121</v>
      </c>
      <c r="D183" s="51">
        <f>Dispatch!E94</f>
        <v>475522</v>
      </c>
      <c r="E183" s="51">
        <f>Dispatch!F94</f>
        <v>666800</v>
      </c>
      <c r="F183" s="51">
        <f>Dispatch!G94</f>
        <v>383143.13</v>
      </c>
      <c r="G183" s="51">
        <f>Dispatch!H94</f>
        <v>427704</v>
      </c>
      <c r="H183" s="51"/>
      <c r="I183" s="51">
        <f>Dispatch!J94</f>
        <v>466040.12400000001</v>
      </c>
      <c r="J183" s="51">
        <f>Dispatch!K94</f>
        <v>3000</v>
      </c>
      <c r="K183" s="51">
        <f>Dispatch!L94</f>
        <v>469040.12400000001</v>
      </c>
    </row>
    <row r="184" spans="1:11" s="33" customFormat="1" x14ac:dyDescent="0.25">
      <c r="A184" s="33" t="s">
        <v>3436</v>
      </c>
      <c r="B184" s="51">
        <f>Streets!C129</f>
        <v>3049647</v>
      </c>
      <c r="C184" s="51">
        <f>Streets!D129</f>
        <v>1790206</v>
      </c>
      <c r="D184" s="51">
        <f>Streets!E129</f>
        <v>2239703</v>
      </c>
      <c r="E184" s="51">
        <f>Streets!F129</f>
        <v>1284218</v>
      </c>
      <c r="F184" s="51">
        <f>Streets!G129</f>
        <v>764693.66</v>
      </c>
      <c r="G184" s="51">
        <f>Streets!H129</f>
        <v>885786.56</v>
      </c>
      <c r="H184" s="51"/>
      <c r="I184" s="51">
        <f>Streets!J129</f>
        <v>1075307.436</v>
      </c>
      <c r="J184" s="51">
        <f>Streets!K129</f>
        <v>2691</v>
      </c>
      <c r="K184" s="51">
        <f>Streets!L129</f>
        <v>1077998.436</v>
      </c>
    </row>
    <row r="185" spans="1:11" s="33" customFormat="1" x14ac:dyDescent="0.25">
      <c r="A185" s="33" t="s">
        <v>3437</v>
      </c>
      <c r="B185" s="51">
        <f>'Solid Waste'!C65</f>
        <v>993482</v>
      </c>
      <c r="C185" s="51">
        <f>'Solid Waste'!D65</f>
        <v>1202774</v>
      </c>
      <c r="D185" s="51">
        <f>'Solid Waste'!E65</f>
        <v>1134736</v>
      </c>
      <c r="E185" s="51">
        <f>'Solid Waste'!F65</f>
        <v>1333171</v>
      </c>
      <c r="F185" s="51">
        <f>'Solid Waste'!G65</f>
        <v>1138050.82</v>
      </c>
      <c r="G185" s="51">
        <f>'Solid Waste'!H65</f>
        <v>1239275</v>
      </c>
      <c r="H185" s="51"/>
      <c r="I185" s="51">
        <f>'Solid Waste'!J65</f>
        <v>1207780.8</v>
      </c>
      <c r="J185" s="51">
        <f>'Solid Waste'!K65</f>
        <v>57859</v>
      </c>
      <c r="K185" s="51">
        <f>'Solid Waste'!L65</f>
        <v>1265639.8</v>
      </c>
    </row>
    <row r="186" spans="1:11" s="33" customFormat="1" x14ac:dyDescent="0.25">
      <c r="A186" s="33" t="s">
        <v>3438</v>
      </c>
      <c r="B186" s="51">
        <f>'Building Maintenance'!C49</f>
        <v>34506</v>
      </c>
      <c r="C186" s="51">
        <f>'Building Maintenance'!D49</f>
        <v>46070</v>
      </c>
      <c r="D186" s="51">
        <f>'Building Maintenance'!E49</f>
        <v>57456</v>
      </c>
      <c r="E186" s="51">
        <f>'Building Maintenance'!F49</f>
        <v>90950</v>
      </c>
      <c r="F186" s="51">
        <f>'Building Maintenance'!G49</f>
        <v>64714.880000000005</v>
      </c>
      <c r="G186" s="51">
        <f>'Building Maintenance'!H49</f>
        <v>74930</v>
      </c>
      <c r="H186" s="51"/>
      <c r="I186" s="51">
        <f>'Building Maintenance'!J49</f>
        <v>45130</v>
      </c>
      <c r="J186" s="51">
        <f>'Building Maintenance'!K49</f>
        <v>0</v>
      </c>
      <c r="K186" s="51">
        <f>'Building Maintenance'!L49</f>
        <v>45130</v>
      </c>
    </row>
    <row r="187" spans="1:11" s="33" customFormat="1" x14ac:dyDescent="0.25">
      <c r="A187" s="33" t="s">
        <v>3439</v>
      </c>
      <c r="B187" s="51">
        <f>'Parks &amp; Rec'!C115</f>
        <v>374670</v>
      </c>
      <c r="C187" s="51">
        <f>'Parks &amp; Rec'!D115</f>
        <v>660780</v>
      </c>
      <c r="D187" s="51">
        <f>'Parks &amp; Rec'!E115</f>
        <v>396360</v>
      </c>
      <c r="E187" s="51">
        <f>'Parks &amp; Rec'!F115-'Parks &amp; Rec'!F100-'Parks &amp; Rec'!F101-'Parks &amp; Rec'!F103</f>
        <v>722094</v>
      </c>
      <c r="F187" s="51">
        <f>'Parks &amp; Rec'!G115-'Parks &amp; Rec'!G100-'Parks &amp; Rec'!G101-'Parks &amp; Rec'!G103</f>
        <v>387617.06</v>
      </c>
      <c r="G187" s="51">
        <f>'Parks &amp; Rec'!H115-'Parks &amp; Rec'!H100-'Parks &amp; Rec'!H101-'Parks &amp; Rec'!H103</f>
        <v>447732.61</v>
      </c>
      <c r="H187" s="51"/>
      <c r="I187" s="51">
        <f>'Parks &amp; Rec'!J115-'Parks &amp; Rec'!J100-'Parks &amp; Rec'!J101-'Parks &amp; Rec'!J103</f>
        <v>580325.51</v>
      </c>
      <c r="J187" s="51">
        <f>'Parks &amp; Rec'!K115-'Parks &amp; Rec'!K100-'Parks &amp; Rec'!K101-'Parks &amp; Rec'!K103</f>
        <v>85000</v>
      </c>
      <c r="K187" s="51">
        <f>'Parks &amp; Rec'!L115-'Parks &amp; Rec'!L100-'Parks &amp; Rec'!L101-'Parks &amp; Rec'!L103</f>
        <v>665325.51</v>
      </c>
    </row>
    <row r="188" spans="1:11" s="33" customFormat="1" x14ac:dyDescent="0.25">
      <c r="A188" s="33" t="s">
        <v>3440</v>
      </c>
      <c r="B188" s="51">
        <f>Aquatics!C73</f>
        <v>156283</v>
      </c>
      <c r="C188" s="51">
        <f>Aquatics!D73</f>
        <v>96685</v>
      </c>
      <c r="D188" s="51">
        <f>Aquatics!E73</f>
        <v>233767</v>
      </c>
      <c r="E188" s="51">
        <f>Aquatics!F73</f>
        <v>176742</v>
      </c>
      <c r="F188" s="51">
        <f>Aquatics!G73</f>
        <v>113246.23999999999</v>
      </c>
      <c r="G188" s="51">
        <f>Aquatics!H73</f>
        <v>135587.78</v>
      </c>
      <c r="H188" s="51"/>
      <c r="I188" s="51">
        <f>Aquatics!J73</f>
        <v>158370.95799999998</v>
      </c>
      <c r="J188" s="51">
        <f>Aquatics!K73</f>
        <v>16000</v>
      </c>
      <c r="K188" s="51">
        <f>Aquatics!L73</f>
        <v>174370.95799999998</v>
      </c>
    </row>
    <row r="189" spans="1:11" s="33" customFormat="1" hidden="1" x14ac:dyDescent="0.25">
      <c r="A189" s="33" t="s">
        <v>3441</v>
      </c>
      <c r="B189" s="51"/>
      <c r="C189" s="51"/>
      <c r="D189" s="51"/>
      <c r="E189" s="51"/>
      <c r="F189" s="51"/>
      <c r="G189" s="56"/>
      <c r="H189" s="51"/>
      <c r="I189" s="51"/>
      <c r="J189" s="51"/>
    </row>
    <row r="190" spans="1:11" s="33" customFormat="1" x14ac:dyDescent="0.25">
      <c r="A190" s="33" t="s">
        <v>3442</v>
      </c>
      <c r="B190" s="51">
        <f>Library!C96</f>
        <v>215209</v>
      </c>
      <c r="C190" s="51">
        <f>Library!D96</f>
        <v>271486</v>
      </c>
      <c r="D190" s="51">
        <f>Library!E96</f>
        <v>333800</v>
      </c>
      <c r="E190" s="51">
        <f>Library!F96</f>
        <v>387126</v>
      </c>
      <c r="F190" s="51">
        <f>Library!G96</f>
        <v>311479.13</v>
      </c>
      <c r="G190" s="51">
        <f>Library!H96</f>
        <v>361226</v>
      </c>
      <c r="H190" s="51"/>
      <c r="I190" s="51">
        <f>Library!J96</f>
        <v>367824.61699999997</v>
      </c>
      <c r="J190" s="51">
        <f>Library!K96</f>
        <v>0</v>
      </c>
      <c r="K190" s="51">
        <f>Library!L96</f>
        <v>367824.61699999997</v>
      </c>
    </row>
    <row r="191" spans="1:11" s="33" customFormat="1" x14ac:dyDescent="0.25">
      <c r="A191" s="33" t="s">
        <v>3443</v>
      </c>
      <c r="B191" s="51">
        <f>'City Council'!C47</f>
        <v>14265</v>
      </c>
      <c r="C191" s="51">
        <f>'City Council'!D47</f>
        <v>41139</v>
      </c>
      <c r="D191" s="51">
        <f>'City Council'!E47</f>
        <v>21267</v>
      </c>
      <c r="E191" s="51">
        <f>'City Council'!F47</f>
        <v>25500</v>
      </c>
      <c r="F191" s="51">
        <f>'City Council'!G47</f>
        <v>21590.81</v>
      </c>
      <c r="G191" s="51">
        <f>'City Council'!H47</f>
        <v>28500</v>
      </c>
      <c r="H191" s="51"/>
      <c r="I191" s="51">
        <f>'City Council'!J47</f>
        <v>28500</v>
      </c>
      <c r="J191" s="51">
        <f>'City Council'!K47</f>
        <v>0</v>
      </c>
      <c r="K191" s="51">
        <f>'City Council'!L47</f>
        <v>28500</v>
      </c>
    </row>
    <row r="192" spans="1:11" s="33" customFormat="1" x14ac:dyDescent="0.25">
      <c r="A192" s="33" t="s">
        <v>3444</v>
      </c>
      <c r="B192" s="51">
        <f>'General Fund IT'!C90</f>
        <v>0</v>
      </c>
      <c r="C192" s="51">
        <f>'General Fund IT'!D90</f>
        <v>542462</v>
      </c>
      <c r="D192" s="51">
        <f>'General Fund IT'!E90</f>
        <v>501918</v>
      </c>
      <c r="E192" s="51">
        <f>'General Fund IT'!F90</f>
        <v>766318</v>
      </c>
      <c r="F192" s="51">
        <f>'General Fund IT'!G90</f>
        <v>568236.68999999994</v>
      </c>
      <c r="G192" s="51">
        <f>'General Fund IT'!H90</f>
        <v>621372.56000000006</v>
      </c>
      <c r="H192" s="51"/>
      <c r="I192" s="51">
        <f>'General Fund IT'!J90</f>
        <v>567131.36699999997</v>
      </c>
      <c r="J192" s="51">
        <f>'General Fund IT'!K90</f>
        <v>0</v>
      </c>
      <c r="K192" s="51">
        <f>'General Fund IT'!L90</f>
        <v>567131.36699999997</v>
      </c>
    </row>
    <row r="193" spans="1:11" s="33" customFormat="1" x14ac:dyDescent="0.25">
      <c r="A193" s="33" t="s">
        <v>3445</v>
      </c>
      <c r="B193" s="51">
        <f>'Aviation Fund'!C29</f>
        <v>0</v>
      </c>
      <c r="C193" s="51">
        <f>'Aviation Fund'!D29</f>
        <v>0</v>
      </c>
      <c r="D193" s="51">
        <f>'Aviation Fund'!E29</f>
        <v>0</v>
      </c>
      <c r="E193" s="51">
        <f>'Aviation Fund'!F29</f>
        <v>92299</v>
      </c>
      <c r="F193" s="51">
        <f>'Aviation Fund'!G29</f>
        <v>0</v>
      </c>
      <c r="G193" s="51">
        <f>'Aviation Fund'!H29</f>
        <v>0</v>
      </c>
      <c r="H193" s="51"/>
      <c r="I193" s="51">
        <f>'Aviation Fund'!J29</f>
        <v>50000</v>
      </c>
      <c r="J193" s="51">
        <f>'Aviation Fund'!K29</f>
        <v>0</v>
      </c>
      <c r="K193" s="51">
        <f>'Aviation Fund'!L29</f>
        <v>50000</v>
      </c>
    </row>
    <row r="194" spans="1:11" s="33" customFormat="1" x14ac:dyDescent="0.25">
      <c r="A194" s="33" t="s">
        <v>3446</v>
      </c>
      <c r="B194" s="51">
        <f>'General Fund Transfers'!C15</f>
        <v>407000</v>
      </c>
      <c r="C194" s="51">
        <f>'General Fund Transfers'!D15</f>
        <v>0</v>
      </c>
      <c r="D194" s="51">
        <f>'General Fund Transfers'!E15</f>
        <v>0</v>
      </c>
      <c r="E194" s="51">
        <f>'General Fund Transfers'!F15</f>
        <v>0</v>
      </c>
      <c r="F194" s="51">
        <f>'General Fund Transfers'!G15</f>
        <v>0</v>
      </c>
      <c r="G194" s="51">
        <f>'General Fund Transfers'!H15</f>
        <v>0</v>
      </c>
      <c r="H194" s="51"/>
      <c r="I194" s="51">
        <f>'General Fund Transfers'!J15</f>
        <v>0</v>
      </c>
      <c r="J194" s="51">
        <f>'General Fund Transfers'!K15</f>
        <v>0</v>
      </c>
      <c r="K194" s="51">
        <f>'General Fund Transfers'!L15</f>
        <v>0</v>
      </c>
    </row>
    <row r="195" spans="1:11" s="33" customFormat="1" x14ac:dyDescent="0.25">
      <c r="A195" s="33" t="s">
        <v>3447</v>
      </c>
      <c r="B195" s="51">
        <f>'Golf Course Revenue'!C26</f>
        <v>438694</v>
      </c>
      <c r="C195" s="51">
        <f>'Golf Course Revenue'!D26</f>
        <v>800000</v>
      </c>
      <c r="D195" s="51">
        <f>'Golf Course Revenue'!E26</f>
        <v>800000</v>
      </c>
      <c r="E195" s="51">
        <f>'Golf Course Revenue'!F26</f>
        <v>970519</v>
      </c>
      <c r="F195" s="51">
        <f>'Golf Course Revenue'!G26</f>
        <v>0</v>
      </c>
      <c r="G195" s="51">
        <f>'Golf Course Revenue'!H26</f>
        <v>0</v>
      </c>
      <c r="H195" s="51"/>
      <c r="I195" s="51">
        <f>'Golf Course Revenue'!J26</f>
        <v>250000</v>
      </c>
      <c r="J195" s="51">
        <f>'Golf Course Revenue'!K26</f>
        <v>0</v>
      </c>
      <c r="K195" s="51">
        <f>'Golf Course Revenue'!L26</f>
        <v>250000</v>
      </c>
    </row>
    <row r="196" spans="1:11" s="33" customFormat="1" x14ac:dyDescent="0.25">
      <c r="A196" s="33" t="s">
        <v>3448</v>
      </c>
      <c r="B196" s="51">
        <v>0</v>
      </c>
      <c r="C196" s="51"/>
      <c r="D196" s="51"/>
      <c r="E196" s="51"/>
      <c r="F196" s="51"/>
      <c r="G196" s="51"/>
      <c r="H196" s="51"/>
      <c r="I196" s="51"/>
      <c r="J196" s="48"/>
    </row>
    <row r="197" spans="1:11" s="33" customFormat="1" x14ac:dyDescent="0.25">
      <c r="A197" s="33" t="s">
        <v>3449</v>
      </c>
      <c r="B197" s="51">
        <v>0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/>
      <c r="I197" s="51">
        <v>0</v>
      </c>
      <c r="J197" s="51">
        <v>0</v>
      </c>
      <c r="K197" s="52">
        <f>I197+J197</f>
        <v>0</v>
      </c>
    </row>
    <row r="198" spans="1:11" s="33" customFormat="1" x14ac:dyDescent="0.25">
      <c r="A198" s="33" t="s">
        <v>3450</v>
      </c>
      <c r="B198" s="51">
        <v>0</v>
      </c>
      <c r="C198" s="51">
        <v>0</v>
      </c>
      <c r="D198" s="51">
        <v>0</v>
      </c>
      <c r="E198" s="51">
        <v>0</v>
      </c>
      <c r="F198" s="51">
        <v>0</v>
      </c>
      <c r="G198" s="56">
        <v>0</v>
      </c>
      <c r="H198" s="51"/>
      <c r="I198" s="51">
        <v>0</v>
      </c>
      <c r="J198" s="51">
        <v>0</v>
      </c>
      <c r="K198" s="52">
        <f>I198+J198</f>
        <v>0</v>
      </c>
    </row>
    <row r="199" spans="1:11" s="33" customFormat="1" x14ac:dyDescent="0.25">
      <c r="B199" s="51"/>
      <c r="C199" s="51"/>
      <c r="D199" s="51"/>
      <c r="E199" s="51"/>
      <c r="F199" s="51"/>
      <c r="G199" s="51"/>
      <c r="H199" s="51"/>
      <c r="I199" s="48"/>
      <c r="J199" s="48"/>
    </row>
    <row r="200" spans="1:11" s="33" customFormat="1" x14ac:dyDescent="0.25">
      <c r="A200" s="33" t="s">
        <v>3451</v>
      </c>
      <c r="B200" s="51">
        <f>SUM(B172:B198)</f>
        <v>10834697</v>
      </c>
      <c r="C200" s="51">
        <f t="shared" ref="C200:E200" si="19">SUM(C172:C198)</f>
        <v>12138109</v>
      </c>
      <c r="D200" s="51">
        <f t="shared" si="19"/>
        <v>12990329</v>
      </c>
      <c r="E200" s="51">
        <f t="shared" si="19"/>
        <v>15107195</v>
      </c>
      <c r="F200" s="51">
        <f>SUM(F172:F198)</f>
        <v>9673996.1000000015</v>
      </c>
      <c r="G200" s="51">
        <f>SUM(G172:G198)</f>
        <v>10972396.299999999</v>
      </c>
      <c r="H200" s="51"/>
      <c r="I200" s="51">
        <f>SUM(I172:I198)</f>
        <v>11714560.269000003</v>
      </c>
      <c r="J200" s="51">
        <f>SUM(J172:J198)</f>
        <v>421602.76</v>
      </c>
      <c r="K200" s="51">
        <f>SUM(K172:K198)</f>
        <v>12090403.029000003</v>
      </c>
    </row>
    <row r="201" spans="1:11" s="33" customFormat="1" x14ac:dyDescent="0.25">
      <c r="B201" s="51"/>
      <c r="C201" s="51"/>
      <c r="D201" s="51"/>
      <c r="E201" s="51"/>
      <c r="F201" s="51"/>
      <c r="G201" s="51"/>
      <c r="H201" s="51"/>
      <c r="I201" s="48"/>
      <c r="J201" s="48"/>
    </row>
    <row r="202" spans="1:11" s="33" customFormat="1" x14ac:dyDescent="0.25">
      <c r="A202" s="33" t="s">
        <v>3452</v>
      </c>
      <c r="B202" s="51">
        <f>B166+B168-B200</f>
        <v>1839342</v>
      </c>
      <c r="C202" s="51">
        <f t="shared" ref="C202:G202" si="20">C166+C168-C200</f>
        <v>2402519</v>
      </c>
      <c r="D202" s="51">
        <f t="shared" si="20"/>
        <v>3545893</v>
      </c>
      <c r="E202" s="51">
        <f t="shared" si="20"/>
        <v>616237</v>
      </c>
      <c r="F202" s="51">
        <f t="shared" si="20"/>
        <v>2350519.209999999</v>
      </c>
      <c r="G202" s="51">
        <f t="shared" si="20"/>
        <v>4213342.7000000011</v>
      </c>
      <c r="H202" s="51"/>
      <c r="I202" s="51">
        <f>I166+I168-I200</f>
        <v>3772507.7309999969</v>
      </c>
      <c r="J202" s="51">
        <f>J166+J168-J200</f>
        <v>-421602.76</v>
      </c>
      <c r="K202" s="51">
        <f>K166+K168-K200</f>
        <v>3396664.9709999971</v>
      </c>
    </row>
    <row r="203" spans="1:11" s="33" customFormat="1" x14ac:dyDescent="0.25">
      <c r="B203" s="51"/>
      <c r="C203" s="51"/>
      <c r="D203" s="51"/>
      <c r="E203" s="51"/>
      <c r="F203" s="51"/>
      <c r="G203" s="51"/>
      <c r="H203" s="51"/>
      <c r="I203" s="51"/>
      <c r="J203" s="51"/>
    </row>
    <row r="204" spans="1:11" s="33" customFormat="1" x14ac:dyDescent="0.25">
      <c r="A204" s="55" t="s">
        <v>3453</v>
      </c>
      <c r="B204" s="51">
        <v>0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/>
      <c r="I204" s="51">
        <v>0</v>
      </c>
      <c r="J204" s="51">
        <v>0</v>
      </c>
      <c r="K204" s="51">
        <v>0</v>
      </c>
    </row>
    <row r="205" spans="1:11" s="33" customFormat="1" x14ac:dyDescent="0.25">
      <c r="B205" s="51"/>
      <c r="C205" s="51"/>
      <c r="D205" s="51"/>
      <c r="E205" s="51"/>
      <c r="F205" s="51"/>
      <c r="G205" s="51"/>
      <c r="H205" s="51"/>
      <c r="I205" s="48"/>
      <c r="J205" s="48"/>
    </row>
    <row r="206" spans="1:11" s="33" customFormat="1" x14ac:dyDescent="0.25">
      <c r="A206" s="33" t="s">
        <v>3454</v>
      </c>
      <c r="B206" s="51">
        <v>0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/>
      <c r="I206" s="51">
        <v>0</v>
      </c>
      <c r="J206" s="51">
        <v>0</v>
      </c>
      <c r="K206" s="51">
        <v>0</v>
      </c>
    </row>
    <row r="207" spans="1:11" s="33" customFormat="1" x14ac:dyDescent="0.25">
      <c r="B207" s="51"/>
      <c r="C207" s="51"/>
      <c r="D207" s="51"/>
      <c r="E207" s="51"/>
      <c r="F207" s="51"/>
      <c r="G207" s="51"/>
      <c r="H207" s="51"/>
      <c r="I207" s="51"/>
      <c r="J207" s="51"/>
    </row>
    <row r="208" spans="1:11" s="33" customFormat="1" x14ac:dyDescent="0.25">
      <c r="B208" s="51"/>
      <c r="C208" s="51"/>
      <c r="D208" s="51"/>
      <c r="E208" s="51"/>
      <c r="F208" s="51"/>
      <c r="G208" s="51"/>
      <c r="H208" s="51"/>
      <c r="I208" s="51"/>
      <c r="J208" s="51"/>
    </row>
    <row r="209" spans="1:11" s="33" customFormat="1" x14ac:dyDescent="0.25">
      <c r="A209" s="49" t="s">
        <v>3455</v>
      </c>
      <c r="B209" s="51"/>
      <c r="C209" s="51"/>
      <c r="D209" s="51"/>
      <c r="E209" s="51"/>
      <c r="F209" s="51"/>
      <c r="G209" s="51"/>
      <c r="H209" s="51"/>
      <c r="I209" s="48"/>
      <c r="J209" s="48"/>
    </row>
    <row r="210" spans="1:11" s="33" customFormat="1" x14ac:dyDescent="0.25">
      <c r="A210" s="49"/>
      <c r="B210" s="51"/>
      <c r="C210" s="51"/>
      <c r="D210" s="51"/>
      <c r="E210" s="51"/>
      <c r="F210" s="51"/>
      <c r="G210" s="51"/>
      <c r="H210" s="51"/>
      <c r="I210" s="48"/>
      <c r="J210" s="48"/>
    </row>
    <row r="211" spans="1:11" s="33" customFormat="1" x14ac:dyDescent="0.25">
      <c r="A211" s="33" t="s">
        <v>3420</v>
      </c>
      <c r="B211" s="51">
        <v>0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/>
      <c r="I211" s="51">
        <v>0</v>
      </c>
      <c r="J211" s="51">
        <v>0</v>
      </c>
      <c r="K211" s="51">
        <v>0</v>
      </c>
    </row>
    <row r="212" spans="1:11" s="33" customFormat="1" x14ac:dyDescent="0.25">
      <c r="B212" s="51"/>
      <c r="C212" s="51"/>
      <c r="D212" s="51"/>
      <c r="E212" s="51"/>
      <c r="F212" s="51"/>
      <c r="G212" s="51"/>
      <c r="H212" s="51"/>
      <c r="I212" s="48"/>
      <c r="J212" s="48"/>
    </row>
    <row r="213" spans="1:11" s="33" customFormat="1" x14ac:dyDescent="0.25">
      <c r="A213" s="33" t="s">
        <v>3421</v>
      </c>
      <c r="B213" s="51">
        <f>('Aviation Fund'!C34)-B214</f>
        <v>420123</v>
      </c>
      <c r="C213" s="51">
        <f>('Aviation Fund'!D34)-C214</f>
        <v>358297</v>
      </c>
      <c r="D213" s="51">
        <f>('Aviation Fund'!E34)-D214</f>
        <v>343484</v>
      </c>
      <c r="E213" s="51">
        <f>('Aviation Fund'!F34)-E214</f>
        <v>288055</v>
      </c>
      <c r="F213" s="51">
        <f>('Aviation Fund'!G34)-F214</f>
        <v>246484.65999999997</v>
      </c>
      <c r="G213" s="51">
        <f>('Aviation Fund'!H34)-G214</f>
        <v>313710</v>
      </c>
      <c r="H213" s="51"/>
      <c r="I213" s="51">
        <f>('Aviation Fund'!J34)-I214</f>
        <v>293800</v>
      </c>
      <c r="J213" s="51">
        <f>('Aviation Fund'!K34)-J214</f>
        <v>0</v>
      </c>
      <c r="K213" s="51">
        <f>('Aviation Fund'!L34)-K214</f>
        <v>293800</v>
      </c>
    </row>
    <row r="214" spans="1:11" s="33" customFormat="1" x14ac:dyDescent="0.25">
      <c r="A214" s="33" t="s">
        <v>3456</v>
      </c>
      <c r="B214" s="51">
        <f>'Aviation Fund'!C28+'Aviation Fund'!C29</f>
        <v>0</v>
      </c>
      <c r="C214" s="51">
        <f>'Aviation Fund'!D28+'Aviation Fund'!D29</f>
        <v>357424</v>
      </c>
      <c r="D214" s="51">
        <f>'Aviation Fund'!E28+'Aviation Fund'!E29</f>
        <v>0</v>
      </c>
      <c r="E214" s="51">
        <f>'Aviation Fund'!F28+'Aviation Fund'!F29</f>
        <v>92299</v>
      </c>
      <c r="F214" s="51">
        <f>'Aviation Fund'!G28+'Aviation Fund'!G29</f>
        <v>0</v>
      </c>
      <c r="G214" s="51">
        <f>'Aviation Fund'!H28+'Aviation Fund'!H29</f>
        <v>0</v>
      </c>
      <c r="H214" s="51"/>
      <c r="I214" s="51">
        <f>'Aviation Fund'!J28+'Aviation Fund'!J29</f>
        <v>50000</v>
      </c>
      <c r="J214" s="51">
        <f>'Aviation Fund'!K28+'Aviation Fund'!K29</f>
        <v>0</v>
      </c>
      <c r="K214" s="51">
        <f>'Aviation Fund'!L28+'Aviation Fund'!L29</f>
        <v>50000</v>
      </c>
    </row>
    <row r="215" spans="1:11" s="33" customFormat="1" x14ac:dyDescent="0.25">
      <c r="A215" s="33" t="s">
        <v>3457</v>
      </c>
      <c r="B215" s="51">
        <f>'Aviation Fund'!C138</f>
        <v>490805</v>
      </c>
      <c r="C215" s="51">
        <f>'Aviation Fund'!D138</f>
        <v>268959</v>
      </c>
      <c r="D215" s="51">
        <f>'Aviation Fund'!E138</f>
        <v>306113</v>
      </c>
      <c r="E215" s="51">
        <f>'Aviation Fund'!F138</f>
        <v>380357</v>
      </c>
      <c r="F215" s="51">
        <f>'Aviation Fund'!G138</f>
        <v>307936.74</v>
      </c>
      <c r="G215" s="51">
        <f>'Aviation Fund'!H138</f>
        <v>350302</v>
      </c>
      <c r="H215" s="51"/>
      <c r="I215" s="51">
        <f>'Aviation Fund'!J138</f>
        <v>323514.07</v>
      </c>
      <c r="J215" s="51">
        <f>'Aviation Fund'!K138</f>
        <v>0</v>
      </c>
      <c r="K215" s="51">
        <f>'Aviation Fund'!L138</f>
        <v>323514.07</v>
      </c>
    </row>
    <row r="216" spans="1:11" s="33" customFormat="1" x14ac:dyDescent="0.25">
      <c r="B216" s="51"/>
      <c r="C216" s="51"/>
      <c r="D216" s="51"/>
      <c r="E216" s="51"/>
      <c r="F216" s="51"/>
      <c r="G216" s="51"/>
      <c r="H216" s="51"/>
      <c r="I216" s="48"/>
      <c r="J216" s="48"/>
    </row>
    <row r="217" spans="1:11" s="33" customFormat="1" x14ac:dyDescent="0.25">
      <c r="A217" s="33" t="s">
        <v>3452</v>
      </c>
      <c r="B217" s="51">
        <f t="shared" ref="B217:G217" si="21">B213+B214-B215</f>
        <v>-70682</v>
      </c>
      <c r="C217" s="51">
        <f t="shared" si="21"/>
        <v>446762</v>
      </c>
      <c r="D217" s="51">
        <f t="shared" si="21"/>
        <v>37371</v>
      </c>
      <c r="E217" s="51">
        <f t="shared" si="21"/>
        <v>-3</v>
      </c>
      <c r="F217" s="51">
        <f t="shared" si="21"/>
        <v>-61452.080000000016</v>
      </c>
      <c r="G217" s="51">
        <f t="shared" si="21"/>
        <v>-36592</v>
      </c>
      <c r="H217" s="51"/>
      <c r="I217" s="51">
        <f>I213+I214-I215</f>
        <v>20285.929999999993</v>
      </c>
      <c r="J217" s="51">
        <f>J213+J214-J215</f>
        <v>0</v>
      </c>
      <c r="K217" s="51">
        <f>K213+K214-K215</f>
        <v>20285.929999999993</v>
      </c>
    </row>
    <row r="218" spans="1:11" s="33" customFormat="1" x14ac:dyDescent="0.25">
      <c r="B218" s="51"/>
      <c r="C218" s="51"/>
      <c r="D218" s="51"/>
      <c r="E218" s="51"/>
      <c r="F218" s="51"/>
      <c r="G218" s="51"/>
      <c r="H218" s="51"/>
      <c r="I218" s="51"/>
      <c r="J218" s="51"/>
    </row>
    <row r="219" spans="1:11" s="33" customFormat="1" x14ac:dyDescent="0.25">
      <c r="A219" s="55" t="s">
        <v>3453</v>
      </c>
      <c r="B219" s="51">
        <v>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/>
      <c r="I219" s="51">
        <v>0</v>
      </c>
      <c r="J219" s="51">
        <v>0</v>
      </c>
      <c r="K219" s="52">
        <f>I219+J219</f>
        <v>0</v>
      </c>
    </row>
    <row r="220" spans="1:11" s="33" customFormat="1" x14ac:dyDescent="0.25">
      <c r="B220" s="51"/>
      <c r="C220" s="51"/>
      <c r="D220" s="51"/>
      <c r="E220" s="51"/>
      <c r="F220" s="51"/>
      <c r="G220" s="51"/>
      <c r="H220" s="51"/>
      <c r="I220" s="48"/>
      <c r="J220" s="48"/>
    </row>
    <row r="221" spans="1:11" s="33" customFormat="1" x14ac:dyDescent="0.25">
      <c r="A221" s="33" t="s">
        <v>3454</v>
      </c>
      <c r="B221" s="51">
        <v>0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/>
      <c r="I221" s="51">
        <v>0</v>
      </c>
      <c r="J221" s="51">
        <v>0</v>
      </c>
      <c r="K221" s="52">
        <v>0</v>
      </c>
    </row>
    <row r="222" spans="1:11" s="33" customFormat="1" x14ac:dyDescent="0.25">
      <c r="B222" s="51"/>
      <c r="C222" s="51"/>
      <c r="D222" s="51"/>
      <c r="E222" s="51"/>
      <c r="F222" s="51"/>
      <c r="G222" s="51"/>
      <c r="H222" s="51"/>
      <c r="I222" s="48"/>
      <c r="J222" s="48"/>
    </row>
    <row r="223" spans="1:11" s="33" customFormat="1" x14ac:dyDescent="0.25">
      <c r="B223" s="51"/>
      <c r="C223" s="51"/>
      <c r="D223" s="51"/>
      <c r="E223" s="51"/>
      <c r="F223" s="51"/>
      <c r="G223" s="51"/>
      <c r="H223" s="51"/>
      <c r="I223" s="48"/>
      <c r="J223" s="48"/>
    </row>
    <row r="224" spans="1:11" s="33" customFormat="1" x14ac:dyDescent="0.25">
      <c r="A224" s="49" t="s">
        <v>3458</v>
      </c>
      <c r="B224" s="51"/>
      <c r="C224" s="51"/>
      <c r="D224" s="51"/>
      <c r="E224" s="51"/>
      <c r="F224" s="51"/>
      <c r="G224" s="51"/>
      <c r="H224" s="51"/>
      <c r="I224" s="48"/>
      <c r="J224" s="48"/>
    </row>
    <row r="225" spans="1:11" s="33" customFormat="1" x14ac:dyDescent="0.25">
      <c r="A225" s="49"/>
      <c r="B225" s="51"/>
      <c r="C225" s="51"/>
      <c r="D225" s="51"/>
      <c r="E225" s="51"/>
      <c r="F225" s="51"/>
      <c r="G225" s="51"/>
      <c r="H225" s="51"/>
      <c r="I225" s="48"/>
      <c r="J225" s="48"/>
    </row>
    <row r="226" spans="1:11" s="33" customFormat="1" x14ac:dyDescent="0.25">
      <c r="A226" s="39" t="s">
        <v>3420</v>
      </c>
      <c r="B226" s="51">
        <v>0</v>
      </c>
      <c r="C226" s="51">
        <v>0</v>
      </c>
      <c r="D226" s="51">
        <v>0</v>
      </c>
      <c r="E226" s="51">
        <v>0</v>
      </c>
      <c r="F226" s="51">
        <v>0</v>
      </c>
      <c r="G226" s="48">
        <v>0</v>
      </c>
      <c r="H226" s="51"/>
      <c r="I226" s="51">
        <v>0</v>
      </c>
      <c r="J226" s="51">
        <v>0</v>
      </c>
      <c r="K226" s="52">
        <v>0</v>
      </c>
    </row>
    <row r="227" spans="1:11" s="33" customFormat="1" x14ac:dyDescent="0.25">
      <c r="B227" s="51"/>
      <c r="C227" s="51"/>
      <c r="D227" s="51"/>
      <c r="E227" s="51"/>
      <c r="F227" s="51"/>
      <c r="G227" s="51"/>
      <c r="H227" s="51"/>
      <c r="I227" s="48"/>
      <c r="J227" s="48"/>
    </row>
    <row r="228" spans="1:11" s="33" customFormat="1" x14ac:dyDescent="0.25">
      <c r="A228" s="55" t="s">
        <v>3421</v>
      </c>
      <c r="B228" s="51">
        <f>('Golf Course Revenue'!C32+'Golf Course Revenue'!C45)-B233</f>
        <v>765993</v>
      </c>
      <c r="C228" s="51">
        <f>('Golf Course Revenue'!D32+'Golf Course Revenue'!D45)-C233</f>
        <v>519485</v>
      </c>
      <c r="D228" s="51">
        <f>('Golf Course Revenue'!E32+'Golf Course Revenue'!E45)-D233</f>
        <v>687871</v>
      </c>
      <c r="E228" s="51">
        <f>('Golf Course Revenue'!F32+'Golf Course Revenue'!F45)-E233</f>
        <v>622700</v>
      </c>
      <c r="F228" s="51">
        <f>('Golf Course Revenue'!G32+'Golf Course Revenue'!G45)-F233</f>
        <v>744160.94000000006</v>
      </c>
      <c r="G228" s="51">
        <f>('Golf Course Revenue'!H32+'Golf Course Revenue'!H45)-G233</f>
        <v>889935</v>
      </c>
      <c r="H228" s="51"/>
      <c r="I228" s="51">
        <f>('Golf Course Revenue'!J32+'Golf Course Revenue'!J45)-I233</f>
        <v>935403</v>
      </c>
      <c r="J228" s="51">
        <f>('Golf Course Revenue'!K32+'Golf Course Revenue'!K45)-J233</f>
        <v>0</v>
      </c>
      <c r="K228" s="51">
        <f>('Golf Course Revenue'!L32+'Golf Course Revenue'!L45)-K233</f>
        <v>935403</v>
      </c>
    </row>
    <row r="229" spans="1:11" s="33" customFormat="1" x14ac:dyDescent="0.25">
      <c r="A229" s="55"/>
      <c r="B229" s="51"/>
      <c r="C229" s="51"/>
      <c r="D229" s="51"/>
      <c r="E229" s="51"/>
      <c r="F229" s="51"/>
      <c r="G229" s="51"/>
      <c r="H229" s="51"/>
      <c r="I229" s="48"/>
      <c r="J229" s="48"/>
    </row>
    <row r="230" spans="1:11" s="33" customFormat="1" x14ac:dyDescent="0.25">
      <c r="A230" s="33" t="s">
        <v>3459</v>
      </c>
      <c r="B230" s="51">
        <f t="shared" ref="B230:G230" si="22">B228</f>
        <v>765993</v>
      </c>
      <c r="C230" s="51">
        <f t="shared" si="22"/>
        <v>519485</v>
      </c>
      <c r="D230" s="51">
        <f t="shared" si="22"/>
        <v>687871</v>
      </c>
      <c r="E230" s="51">
        <f t="shared" si="22"/>
        <v>622700</v>
      </c>
      <c r="F230" s="51">
        <f t="shared" si="22"/>
        <v>744160.94000000006</v>
      </c>
      <c r="G230" s="51">
        <f t="shared" si="22"/>
        <v>889935</v>
      </c>
      <c r="H230" s="51"/>
      <c r="I230" s="51">
        <f>I228</f>
        <v>935403</v>
      </c>
      <c r="J230" s="51">
        <f>J228</f>
        <v>0</v>
      </c>
      <c r="K230" s="51">
        <f>K228</f>
        <v>935403</v>
      </c>
    </row>
    <row r="231" spans="1:11" s="33" customFormat="1" x14ac:dyDescent="0.25">
      <c r="A231" s="33" t="s">
        <v>3460</v>
      </c>
      <c r="B231" s="51">
        <v>0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/>
      <c r="I231" s="51">
        <v>0</v>
      </c>
      <c r="J231" s="51">
        <v>0</v>
      </c>
      <c r="K231" s="51">
        <f>I231+J231</f>
        <v>0</v>
      </c>
    </row>
    <row r="232" spans="1:11" s="33" customFormat="1" x14ac:dyDescent="0.25">
      <c r="A232" s="55"/>
      <c r="B232" s="51"/>
      <c r="C232" s="51"/>
      <c r="D232" s="51"/>
      <c r="E232" s="51"/>
      <c r="F232" s="51"/>
      <c r="G232" s="51"/>
      <c r="H232" s="51"/>
      <c r="I232" s="48"/>
      <c r="J232" s="48"/>
    </row>
    <row r="233" spans="1:11" s="33" customFormat="1" x14ac:dyDescent="0.25">
      <c r="A233" s="55" t="s">
        <v>3461</v>
      </c>
      <c r="B233" s="51">
        <f>'Golf Course Revenue'!C26</f>
        <v>438694</v>
      </c>
      <c r="C233" s="51">
        <f>'Golf Course Revenue'!D26</f>
        <v>800000</v>
      </c>
      <c r="D233" s="51">
        <f>'Golf Course Revenue'!E26</f>
        <v>800000</v>
      </c>
      <c r="E233" s="51">
        <f>'Golf Course Revenue'!F26</f>
        <v>970519</v>
      </c>
      <c r="F233" s="51">
        <f>'Golf Course Revenue'!G26</f>
        <v>0</v>
      </c>
      <c r="G233" s="51">
        <f>'Golf Course Revenue'!H26</f>
        <v>0</v>
      </c>
      <c r="H233" s="51"/>
      <c r="I233" s="51">
        <f>'Golf Course Revenue'!J26</f>
        <v>250000</v>
      </c>
      <c r="J233" s="51">
        <f>'Golf Course Revenue'!K26</f>
        <v>0</v>
      </c>
      <c r="K233" s="51">
        <f>'Golf Course Revenue'!L26</f>
        <v>250000</v>
      </c>
    </row>
    <row r="234" spans="1:11" s="33" customFormat="1" x14ac:dyDescent="0.25">
      <c r="B234" s="51"/>
      <c r="C234" s="51"/>
      <c r="D234" s="51"/>
      <c r="E234" s="51"/>
      <c r="F234" s="51"/>
      <c r="G234" s="51"/>
      <c r="H234" s="51"/>
      <c r="I234" s="48"/>
      <c r="J234" s="48"/>
    </row>
    <row r="235" spans="1:11" s="33" customFormat="1" x14ac:dyDescent="0.25">
      <c r="A235" s="55" t="s">
        <v>3423</v>
      </c>
      <c r="B235" s="51"/>
      <c r="C235" s="51"/>
      <c r="D235" s="51"/>
      <c r="E235" s="51"/>
      <c r="F235" s="51"/>
      <c r="G235" s="51"/>
      <c r="H235" s="51"/>
      <c r="I235" s="48"/>
      <c r="J235" s="48"/>
    </row>
    <row r="236" spans="1:11" s="33" customFormat="1" x14ac:dyDescent="0.25">
      <c r="B236" s="51"/>
      <c r="C236" s="51"/>
      <c r="D236" s="51"/>
      <c r="E236" s="51"/>
      <c r="F236" s="51"/>
      <c r="G236" s="51"/>
      <c r="H236" s="51"/>
      <c r="I236" s="48"/>
      <c r="J236" s="48"/>
    </row>
    <row r="237" spans="1:11" s="33" customFormat="1" x14ac:dyDescent="0.25">
      <c r="A237" s="33" t="s">
        <v>3462</v>
      </c>
      <c r="B237" s="51">
        <f>'LVGC ProShop'!C117</f>
        <v>415917</v>
      </c>
      <c r="C237" s="51">
        <f>'LVGC ProShop'!D117</f>
        <v>451209</v>
      </c>
      <c r="D237" s="51">
        <f>'LVGC ProShop'!E117</f>
        <v>588166</v>
      </c>
      <c r="E237" s="51">
        <f>'LVGC ProShop'!F117</f>
        <v>679274</v>
      </c>
      <c r="F237" s="51">
        <f>'LVGC ProShop'!G117</f>
        <v>519175.22000000003</v>
      </c>
      <c r="G237" s="51">
        <f>'LVGC ProShop'!H117</f>
        <v>561374</v>
      </c>
      <c r="H237" s="51"/>
      <c r="I237" s="51">
        <f>'LVGC ProShop'!J117</f>
        <v>674743.76399999997</v>
      </c>
      <c r="J237" s="51">
        <f>'LVGC ProShop'!K117</f>
        <v>0</v>
      </c>
      <c r="K237" s="51">
        <f>'LVGC ProShop'!L117</f>
        <v>674743.76399999997</v>
      </c>
    </row>
    <row r="238" spans="1:11" s="33" customFormat="1" x14ac:dyDescent="0.25">
      <c r="A238" s="33" t="s">
        <v>3463</v>
      </c>
      <c r="B238" s="51">
        <f>'LVGC Maintenance'!C108</f>
        <v>405573</v>
      </c>
      <c r="C238" s="51">
        <f>'LVGC Maintenance'!D108</f>
        <v>677356</v>
      </c>
      <c r="D238" s="51">
        <f>'LVGC Maintenance'!E108</f>
        <v>631330</v>
      </c>
      <c r="E238" s="51">
        <f>'LVGC Maintenance'!F108</f>
        <v>913947</v>
      </c>
      <c r="F238" s="51">
        <f>'LVGC Maintenance'!G108</f>
        <v>576512.74</v>
      </c>
      <c r="G238" s="51">
        <f>'LVGC Maintenance'!H108</f>
        <v>663354.27</v>
      </c>
      <c r="H238" s="51"/>
      <c r="I238" s="51">
        <f>'LVGC Maintenance'!J108</f>
        <v>736011.49799999991</v>
      </c>
      <c r="J238" s="51">
        <f>'LVGC Maintenance'!K108</f>
        <v>75000</v>
      </c>
      <c r="K238" s="51">
        <f>'LVGC Maintenance'!L108</f>
        <v>811011.49799999991</v>
      </c>
    </row>
    <row r="239" spans="1:11" s="33" customFormat="1" x14ac:dyDescent="0.25">
      <c r="A239" s="33" t="s">
        <v>3464</v>
      </c>
      <c r="B239" s="51">
        <v>0</v>
      </c>
      <c r="C239" s="51">
        <v>0</v>
      </c>
      <c r="D239" s="51">
        <v>0</v>
      </c>
      <c r="E239" s="51">
        <v>0</v>
      </c>
      <c r="F239" s="51">
        <v>0</v>
      </c>
      <c r="G239" s="58">
        <v>0</v>
      </c>
      <c r="H239" s="51"/>
      <c r="I239" s="51">
        <v>0</v>
      </c>
      <c r="J239" s="51">
        <v>0</v>
      </c>
      <c r="K239" s="52">
        <f>I239+J239</f>
        <v>0</v>
      </c>
    </row>
    <row r="240" spans="1:11" s="33" customFormat="1" x14ac:dyDescent="0.25">
      <c r="A240" s="33" t="s">
        <v>3465</v>
      </c>
      <c r="B240" s="51">
        <v>0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/>
      <c r="I240" s="51">
        <v>0</v>
      </c>
      <c r="J240" s="51">
        <v>0</v>
      </c>
      <c r="K240" s="52">
        <f>I240+J240</f>
        <v>0</v>
      </c>
    </row>
    <row r="241" spans="1:11" s="33" customFormat="1" x14ac:dyDescent="0.25">
      <c r="A241" s="33" t="s">
        <v>3466</v>
      </c>
      <c r="B241" s="51">
        <v>0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/>
      <c r="I241" s="51">
        <v>0</v>
      </c>
      <c r="J241" s="51">
        <v>0</v>
      </c>
      <c r="K241" s="52">
        <f>I241+J241</f>
        <v>0</v>
      </c>
    </row>
    <row r="242" spans="1:11" s="33" customFormat="1" x14ac:dyDescent="0.25">
      <c r="B242" s="51"/>
      <c r="C242" s="51"/>
      <c r="D242" s="51"/>
      <c r="E242" s="51"/>
      <c r="F242" s="51"/>
      <c r="G242" s="51"/>
      <c r="H242" s="51"/>
      <c r="I242" s="48"/>
      <c r="J242" s="48"/>
    </row>
    <row r="243" spans="1:11" s="33" customFormat="1" x14ac:dyDescent="0.25">
      <c r="A243" s="33" t="s">
        <v>3467</v>
      </c>
      <c r="B243" s="51">
        <f t="shared" ref="B243:G243" si="23">SUM(B237:B242)</f>
        <v>821490</v>
      </c>
      <c r="C243" s="51">
        <f t="shared" si="23"/>
        <v>1128565</v>
      </c>
      <c r="D243" s="51">
        <f t="shared" si="23"/>
        <v>1219496</v>
      </c>
      <c r="E243" s="51">
        <f t="shared" si="23"/>
        <v>1593221</v>
      </c>
      <c r="F243" s="51">
        <f t="shared" si="23"/>
        <v>1095687.96</v>
      </c>
      <c r="G243" s="51">
        <f t="shared" si="23"/>
        <v>1224728.27</v>
      </c>
      <c r="H243" s="51"/>
      <c r="I243" s="51">
        <f>SUM(I237:I242)</f>
        <v>1410755.2619999999</v>
      </c>
      <c r="J243" s="51">
        <f>SUM(J237:J242)</f>
        <v>75000</v>
      </c>
      <c r="K243" s="51">
        <f>SUM(K237:K242)</f>
        <v>1485755.2619999999</v>
      </c>
    </row>
    <row r="244" spans="1:11" s="33" customFormat="1" x14ac:dyDescent="0.25">
      <c r="B244" s="51"/>
      <c r="C244" s="51"/>
      <c r="D244" s="51"/>
      <c r="E244" s="51"/>
      <c r="F244" s="51"/>
      <c r="G244" s="51"/>
      <c r="H244" s="51"/>
      <c r="I244" s="48"/>
      <c r="J244" s="48"/>
    </row>
    <row r="245" spans="1:11" s="33" customFormat="1" x14ac:dyDescent="0.25">
      <c r="A245" s="33" t="s">
        <v>3452</v>
      </c>
      <c r="B245" s="51">
        <f t="shared" ref="B245:G245" si="24">+B228+B233+B231-B243</f>
        <v>383197</v>
      </c>
      <c r="C245" s="51">
        <f t="shared" si="24"/>
        <v>190920</v>
      </c>
      <c r="D245" s="51">
        <f t="shared" si="24"/>
        <v>268375</v>
      </c>
      <c r="E245" s="51">
        <f t="shared" si="24"/>
        <v>-2</v>
      </c>
      <c r="F245" s="51">
        <f t="shared" si="24"/>
        <v>-351527.0199999999</v>
      </c>
      <c r="G245" s="51">
        <f t="shared" si="24"/>
        <v>-334793.27</v>
      </c>
      <c r="H245" s="51"/>
      <c r="I245" s="51">
        <f>+I228+I233+I231-I243</f>
        <v>-225352.26199999987</v>
      </c>
      <c r="J245" s="51">
        <f>+J228+J233+J231-J243</f>
        <v>-75000</v>
      </c>
      <c r="K245" s="51">
        <f>+K228+K233+K231-K243</f>
        <v>-300352.26199999987</v>
      </c>
    </row>
    <row r="246" spans="1:11" s="33" customFormat="1" x14ac:dyDescent="0.25">
      <c r="B246" s="51"/>
      <c r="C246" s="51"/>
      <c r="D246" s="51"/>
      <c r="E246" s="51"/>
      <c r="F246" s="51"/>
      <c r="G246" s="58"/>
      <c r="H246" s="51"/>
      <c r="I246" s="51"/>
      <c r="J246" s="51"/>
    </row>
    <row r="247" spans="1:11" s="33" customFormat="1" x14ac:dyDescent="0.25">
      <c r="A247" s="55" t="s">
        <v>3453</v>
      </c>
      <c r="B247" s="51">
        <v>0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/>
      <c r="I247" s="51">
        <v>0</v>
      </c>
      <c r="J247" s="51">
        <v>0</v>
      </c>
      <c r="K247" s="51">
        <v>0</v>
      </c>
    </row>
    <row r="248" spans="1:11" s="33" customFormat="1" x14ac:dyDescent="0.25">
      <c r="B248" s="51"/>
      <c r="C248" s="51"/>
      <c r="D248" s="51"/>
      <c r="E248" s="51"/>
      <c r="F248" s="51"/>
      <c r="G248" s="51"/>
      <c r="H248" s="51"/>
      <c r="I248" s="48"/>
      <c r="J248" s="48"/>
    </row>
    <row r="249" spans="1:11" s="33" customFormat="1" x14ac:dyDescent="0.25">
      <c r="A249" s="33" t="s">
        <v>3454</v>
      </c>
      <c r="B249" s="51">
        <v>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/>
      <c r="I249" s="51">
        <v>0</v>
      </c>
      <c r="J249" s="51">
        <v>0</v>
      </c>
      <c r="K249" s="51">
        <v>0</v>
      </c>
    </row>
    <row r="250" spans="1:11" s="33" customFormat="1" x14ac:dyDescent="0.25">
      <c r="B250" s="51"/>
      <c r="C250" s="51"/>
      <c r="D250" s="51"/>
      <c r="E250" s="51"/>
      <c r="F250" s="51"/>
      <c r="G250" s="51"/>
      <c r="H250" s="51"/>
      <c r="I250" s="48"/>
      <c r="J250" s="48"/>
    </row>
    <row r="251" spans="1:11" s="33" customFormat="1" x14ac:dyDescent="0.25">
      <c r="B251" s="51"/>
      <c r="C251" s="51"/>
      <c r="D251" s="51"/>
      <c r="E251" s="51"/>
      <c r="F251" s="51"/>
      <c r="G251" s="51"/>
      <c r="H251" s="51"/>
      <c r="I251" s="48"/>
      <c r="J251" s="48"/>
    </row>
    <row r="252" spans="1:11" s="33" customFormat="1" x14ac:dyDescent="0.25">
      <c r="A252" s="49" t="s">
        <v>3468</v>
      </c>
      <c r="B252" s="51"/>
      <c r="C252" s="51"/>
      <c r="D252" s="51"/>
      <c r="E252" s="51"/>
      <c r="F252" s="51"/>
      <c r="G252" s="51"/>
      <c r="H252" s="51"/>
      <c r="I252" s="48"/>
      <c r="J252" s="48"/>
    </row>
    <row r="253" spans="1:11" s="33" customFormat="1" x14ac:dyDescent="0.25">
      <c r="A253" s="49"/>
      <c r="B253" s="51"/>
      <c r="C253" s="51"/>
      <c r="D253" s="51"/>
      <c r="E253" s="51"/>
      <c r="F253" s="51"/>
      <c r="G253" s="51"/>
      <c r="H253" s="51"/>
      <c r="I253" s="48"/>
      <c r="J253" s="48"/>
    </row>
    <row r="254" spans="1:11" s="33" customFormat="1" x14ac:dyDescent="0.25">
      <c r="A254" s="39" t="s">
        <v>3420</v>
      </c>
      <c r="B254" s="51">
        <v>0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/>
      <c r="I254" s="51">
        <v>0</v>
      </c>
      <c r="J254" s="51">
        <v>0</v>
      </c>
      <c r="K254" s="51">
        <v>0</v>
      </c>
    </row>
    <row r="255" spans="1:11" s="33" customFormat="1" x14ac:dyDescent="0.25">
      <c r="A255" s="39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1" s="33" customFormat="1" x14ac:dyDescent="0.25">
      <c r="A256" s="55" t="s">
        <v>3421</v>
      </c>
      <c r="B256" s="51">
        <f>'Utility Fund Revenue'!C96</f>
        <v>12993216</v>
      </c>
      <c r="C256" s="51">
        <f>'Utility Fund Revenue'!D96</f>
        <v>10707689</v>
      </c>
      <c r="D256" s="51">
        <f>'Utility Fund Revenue'!E96</f>
        <v>10653770</v>
      </c>
      <c r="E256" s="51">
        <f>'Utility Fund Revenue'!F96-'Utility Fund Revenue'!F86-'Utility Fund Revenue'!F87-'Utility Fund Revenue'!F88</f>
        <v>12628624</v>
      </c>
      <c r="F256" s="51">
        <f>'Utility Fund Revenue'!G96-'Utility Fund Revenue'!G86-'Utility Fund Revenue'!G87-'Utility Fund Revenue'!G88</f>
        <v>8507540.0399999991</v>
      </c>
      <c r="G256" s="51">
        <f>'Utility Fund Revenue'!H96-'Utility Fund Revenue'!H86-'Utility Fund Revenue'!H87-'Utility Fund Revenue'!H88</f>
        <v>9912552</v>
      </c>
      <c r="H256" s="51"/>
      <c r="I256" s="51">
        <f>'Utility Fund Revenue'!J96-'Utility Fund Revenue'!J86-'Utility Fund Revenue'!J87-'Utility Fund Revenue'!J88</f>
        <v>10338925</v>
      </c>
      <c r="J256" s="51">
        <f>'Utility Fund Revenue'!K96-'Utility Fund Revenue'!K86-'Utility Fund Revenue'!K87-'Utility Fund Revenue'!K88</f>
        <v>0</v>
      </c>
      <c r="K256" s="51">
        <f>'Utility Fund Revenue'!L96-'Utility Fund Revenue'!L86-'Utility Fund Revenue'!L87-'Utility Fund Revenue'!L88</f>
        <v>10338925</v>
      </c>
    </row>
    <row r="257" spans="1:11" s="33" customFormat="1" x14ac:dyDescent="0.25">
      <c r="A257" s="39"/>
      <c r="B257" s="51"/>
      <c r="C257" s="51"/>
      <c r="D257" s="51"/>
      <c r="E257" s="51"/>
      <c r="F257" s="51"/>
      <c r="G257" s="58"/>
      <c r="H257" s="51"/>
      <c r="I257" s="48"/>
      <c r="J257" s="48"/>
    </row>
    <row r="258" spans="1:11" s="33" customFormat="1" x14ac:dyDescent="0.25">
      <c r="A258" s="55" t="s">
        <v>3423</v>
      </c>
      <c r="B258" s="51"/>
      <c r="C258" s="51"/>
      <c r="D258" s="51"/>
      <c r="E258" s="51"/>
      <c r="F258" s="51"/>
      <c r="G258" s="51"/>
      <c r="H258" s="51"/>
      <c r="I258" s="48"/>
      <c r="J258" s="48"/>
    </row>
    <row r="259" spans="1:11" s="33" customFormat="1" x14ac:dyDescent="0.25">
      <c r="B259" s="51"/>
      <c r="C259" s="51"/>
      <c r="D259" s="51"/>
      <c r="E259" s="51"/>
      <c r="F259" s="51"/>
      <c r="G259" s="51"/>
      <c r="H259" s="51"/>
      <c r="I259" s="48"/>
      <c r="J259" s="48"/>
    </row>
    <row r="260" spans="1:11" s="33" customFormat="1" x14ac:dyDescent="0.25">
      <c r="A260" s="33" t="s">
        <v>3469</v>
      </c>
      <c r="B260" s="51">
        <f>'Utility Admin'!C104</f>
        <v>227773</v>
      </c>
      <c r="C260" s="51">
        <f>'Utility Admin'!D104</f>
        <v>510380</v>
      </c>
      <c r="D260" s="51">
        <f>'Utility Admin'!E104</f>
        <v>384445</v>
      </c>
      <c r="E260" s="51">
        <f>'Utility Admin'!F104</f>
        <v>467389</v>
      </c>
      <c r="F260" s="51">
        <f>'Utility Admin'!G104</f>
        <v>322875.94</v>
      </c>
      <c r="G260" s="51">
        <f>'Utility Admin'!H104</f>
        <v>446198</v>
      </c>
      <c r="H260" s="51"/>
      <c r="I260" s="51">
        <f>'Utility Admin'!J104</f>
        <v>470215.48600000003</v>
      </c>
      <c r="J260" s="51">
        <f>'Utility Admin'!K104</f>
        <v>0</v>
      </c>
      <c r="K260" s="51">
        <f>'Utility Admin'!L104</f>
        <v>470215.48600000003</v>
      </c>
    </row>
    <row r="261" spans="1:11" s="33" customFormat="1" x14ac:dyDescent="0.25">
      <c r="A261" s="33" t="s">
        <v>3470</v>
      </c>
      <c r="B261" s="51">
        <f>'General Fund Transfer'!C12</f>
        <v>1600000</v>
      </c>
      <c r="C261" s="51">
        <f>'General Fund Transfer'!D12</f>
        <v>2059643</v>
      </c>
      <c r="D261" s="51">
        <f>'General Fund Transfer'!E12</f>
        <v>2059643</v>
      </c>
      <c r="E261" s="51">
        <f>'General Fund Transfer'!F12</f>
        <v>3643573</v>
      </c>
      <c r="F261" s="51">
        <f>'General Fund Transfer'!G12</f>
        <v>1544732.28</v>
      </c>
      <c r="G261" s="51">
        <f>'General Fund Transfer'!H12</f>
        <v>3643573</v>
      </c>
      <c r="H261" s="51"/>
      <c r="I261" s="51">
        <f>'General Fund Transfer'!J12</f>
        <v>3643573</v>
      </c>
      <c r="J261" s="51">
        <f>'General Fund Transfer'!K12</f>
        <v>0</v>
      </c>
      <c r="K261" s="51">
        <f>'General Fund Transfer'!L12</f>
        <v>3643573</v>
      </c>
    </row>
    <row r="262" spans="1:11" s="33" customFormat="1" x14ac:dyDescent="0.25">
      <c r="A262" s="33" t="s">
        <v>3471</v>
      </c>
      <c r="B262" s="51">
        <v>0</v>
      </c>
      <c r="C262" s="51">
        <v>0</v>
      </c>
      <c r="D262" s="51">
        <v>0</v>
      </c>
      <c r="E262" s="51">
        <v>0</v>
      </c>
      <c r="F262" s="51">
        <v>0</v>
      </c>
      <c r="G262" s="56">
        <v>0</v>
      </c>
      <c r="H262" s="51"/>
      <c r="I262" s="51">
        <v>0</v>
      </c>
      <c r="J262" s="51">
        <v>0</v>
      </c>
      <c r="K262" s="52">
        <f>I262+J262</f>
        <v>0</v>
      </c>
    </row>
    <row r="263" spans="1:11" s="33" customFormat="1" x14ac:dyDescent="0.25">
      <c r="A263" s="33" t="s">
        <v>3472</v>
      </c>
      <c r="B263" s="51">
        <f>'Utility Fund IT'!C89</f>
        <v>498181</v>
      </c>
      <c r="C263" s="51">
        <f>'Utility Fund IT'!D89</f>
        <v>48119</v>
      </c>
      <c r="D263" s="51">
        <f>'Utility Fund IT'!E89</f>
        <v>39341</v>
      </c>
      <c r="E263" s="51">
        <f>'Utility Fund IT'!F89</f>
        <v>83883</v>
      </c>
      <c r="F263" s="51">
        <f>'Utility Fund IT'!G89</f>
        <v>53134.479999999996</v>
      </c>
      <c r="G263" s="51">
        <f>'Utility Fund IT'!H89</f>
        <v>61248.05</v>
      </c>
      <c r="H263" s="51"/>
      <c r="I263" s="51">
        <f>'Utility Fund IT'!J89</f>
        <v>65292.854999999996</v>
      </c>
      <c r="J263" s="51">
        <f>'Utility Fund IT'!K89</f>
        <v>0</v>
      </c>
      <c r="K263" s="51">
        <f>'Utility Fund IT'!L89</f>
        <v>65292.854999999996</v>
      </c>
    </row>
    <row r="264" spans="1:11" s="33" customFormat="1" x14ac:dyDescent="0.25">
      <c r="A264" s="33" t="s">
        <v>3473</v>
      </c>
      <c r="B264" s="51">
        <f>'Public Works Admin'!C104</f>
        <v>419313</v>
      </c>
      <c r="C264" s="51">
        <f>'Public Works Admin'!D104</f>
        <v>345251</v>
      </c>
      <c r="D264" s="51">
        <f>'Public Works Admin'!E104</f>
        <v>951780</v>
      </c>
      <c r="E264" s="51">
        <f>'Public Works Admin'!F104</f>
        <v>1388620</v>
      </c>
      <c r="F264" s="51">
        <f>'Public Works Admin'!G104</f>
        <v>807813.47</v>
      </c>
      <c r="G264" s="51">
        <f>'Public Works Admin'!H104</f>
        <v>876509.03</v>
      </c>
      <c r="H264" s="51"/>
      <c r="I264" s="51">
        <f>'Public Works Admin'!J104</f>
        <v>971969.21700000006</v>
      </c>
      <c r="J264" s="51">
        <f>'Public Works Admin'!K104</f>
        <v>0</v>
      </c>
      <c r="K264" s="51">
        <f>'Public Works Admin'!L104</f>
        <v>971969.21700000006</v>
      </c>
    </row>
    <row r="265" spans="1:11" s="33" customFormat="1" x14ac:dyDescent="0.25">
      <c r="A265" s="33" t="s">
        <v>3474</v>
      </c>
      <c r="B265" s="51">
        <f>'Water Services'!C114</f>
        <v>1892876</v>
      </c>
      <c r="C265" s="51">
        <f>'Water Services'!D114</f>
        <v>1303099</v>
      </c>
      <c r="D265" s="51">
        <f>'Water Services'!E114</f>
        <v>1876300</v>
      </c>
      <c r="E265" s="51">
        <f>'Water Services'!F114</f>
        <v>1648416</v>
      </c>
      <c r="F265" s="51">
        <f>'Water Services'!G114</f>
        <v>1092576.08</v>
      </c>
      <c r="G265" s="51">
        <f>'Water Services'!H114</f>
        <v>1206722.76</v>
      </c>
      <c r="H265" s="51"/>
      <c r="I265" s="51">
        <f>'Water Services'!J114</f>
        <v>1207131.807</v>
      </c>
      <c r="J265" s="51">
        <f>'Water Services'!K114</f>
        <v>43900</v>
      </c>
      <c r="K265" s="51">
        <f>'Water Services'!L114</f>
        <v>1251031.807</v>
      </c>
    </row>
    <row r="266" spans="1:11" s="33" customFormat="1" x14ac:dyDescent="0.25">
      <c r="A266" s="33" t="s">
        <v>3475</v>
      </c>
      <c r="B266" s="51">
        <f>'Water Plant 1'!C98</f>
        <v>449355</v>
      </c>
      <c r="C266" s="51">
        <f>'Water Plant 1'!D98</f>
        <v>363437</v>
      </c>
      <c r="D266" s="51">
        <f>'Water Plant 1'!E98</f>
        <v>376516</v>
      </c>
      <c r="E266" s="51">
        <f>'Water Plant 1'!F98</f>
        <v>738761</v>
      </c>
      <c r="F266" s="51">
        <f>'Water Plant 1'!G98</f>
        <v>1211900.1199999999</v>
      </c>
      <c r="G266" s="51">
        <f>'Water Plant 1'!H98</f>
        <v>1280094</v>
      </c>
      <c r="H266" s="51"/>
      <c r="I266" s="51">
        <f>'Water Plant 1'!J98</f>
        <v>793443.19200000004</v>
      </c>
      <c r="J266" s="51">
        <f>'Water Plant 1'!K98</f>
        <v>0</v>
      </c>
      <c r="K266" s="51">
        <f>'Water Plant 1'!L98</f>
        <v>793443.19200000004</v>
      </c>
    </row>
    <row r="267" spans="1:11" s="33" customFormat="1" hidden="1" x14ac:dyDescent="0.25">
      <c r="A267" s="33" t="s">
        <v>3476</v>
      </c>
      <c r="B267" s="51">
        <v>0</v>
      </c>
      <c r="C267" s="51">
        <v>0</v>
      </c>
      <c r="D267" s="51">
        <v>0</v>
      </c>
      <c r="E267" s="51">
        <v>0</v>
      </c>
      <c r="F267" s="51">
        <v>0</v>
      </c>
      <c r="G267" s="56"/>
      <c r="H267" s="51"/>
      <c r="I267" s="51">
        <v>0</v>
      </c>
      <c r="J267" s="51">
        <v>0</v>
      </c>
    </row>
    <row r="268" spans="1:11" s="33" customFormat="1" x14ac:dyDescent="0.25">
      <c r="A268" s="33" t="s">
        <v>3477</v>
      </c>
      <c r="B268" s="51">
        <f>'Water Plant 3'!C97</f>
        <v>450176</v>
      </c>
      <c r="C268" s="51">
        <f>'Water Plant 3'!D97</f>
        <v>492229</v>
      </c>
      <c r="D268" s="51">
        <f>'Water Plant 3'!E97</f>
        <v>1129256</v>
      </c>
      <c r="E268" s="51">
        <f>'Water Plant 3'!F97-'Water Plant 3'!F89</f>
        <v>799881</v>
      </c>
      <c r="F268" s="51">
        <f>'Water Plant 3'!G97-'Water Plant 3'!G89</f>
        <v>540076.46</v>
      </c>
      <c r="G268" s="51">
        <f>'Water Plant 3'!H97-'Water Plant 3'!H89</f>
        <v>606710.35</v>
      </c>
      <c r="H268" s="51"/>
      <c r="I268" s="51">
        <f>'Water Plant 3'!J97-'Water Plant 3'!J89</f>
        <v>765175.52600000007</v>
      </c>
      <c r="J268" s="51">
        <f>'Water Plant 3'!K97-'Water Plant 3'!K89</f>
        <v>300000</v>
      </c>
      <c r="K268" s="51">
        <f>'Water Plant 3'!L97-'Water Plant 3'!L89</f>
        <v>1065175.5260000001</v>
      </c>
    </row>
    <row r="269" spans="1:11" s="33" customFormat="1" x14ac:dyDescent="0.25">
      <c r="A269" s="33" t="s">
        <v>3478</v>
      </c>
      <c r="B269" s="51">
        <f>'Sewer Services'!C105</f>
        <v>1040016</v>
      </c>
      <c r="C269" s="51">
        <f>'Sewer Services'!D105</f>
        <v>645934</v>
      </c>
      <c r="D269" s="51">
        <f>'Sewer Services'!E105</f>
        <v>817598</v>
      </c>
      <c r="E269" s="51">
        <f>'Sewer Services'!F105</f>
        <v>1375916</v>
      </c>
      <c r="F269" s="51">
        <f>'Sewer Services'!G105</f>
        <v>731952.62</v>
      </c>
      <c r="G269" s="51">
        <f>'Sewer Services'!H105</f>
        <v>829584</v>
      </c>
      <c r="H269" s="51"/>
      <c r="I269" s="51">
        <f>'Sewer Services'!J105</f>
        <v>1076727.1510000001</v>
      </c>
      <c r="J269" s="51">
        <f>'Sewer Services'!K105</f>
        <v>619600</v>
      </c>
      <c r="K269" s="51">
        <f>'Sewer Services'!L105</f>
        <v>1696327.1510000001</v>
      </c>
    </row>
    <row r="270" spans="1:11" s="33" customFormat="1" x14ac:dyDescent="0.25">
      <c r="A270" s="33" t="s">
        <v>3479</v>
      </c>
      <c r="B270" s="51">
        <f>'Wastewater Treatment Plant'!C96</f>
        <v>422001</v>
      </c>
      <c r="C270" s="51">
        <f>'Wastewater Treatment Plant'!D96</f>
        <v>491751</v>
      </c>
      <c r="D270" s="51">
        <f>'Wastewater Treatment Plant'!E96</f>
        <v>540677</v>
      </c>
      <c r="E270" s="51">
        <f>'Wastewater Treatment Plant'!F96-'Wastewater Treatment Plant'!F88</f>
        <v>772782</v>
      </c>
      <c r="F270" s="51">
        <f>'Wastewater Treatment Plant'!G96-'Wastewater Treatment Plant'!G88</f>
        <v>846916.31</v>
      </c>
      <c r="G270" s="51">
        <f>'Wastewater Treatment Plant'!H96-'Wastewater Treatment Plant'!H88</f>
        <v>920553</v>
      </c>
      <c r="H270" s="51"/>
      <c r="I270" s="51">
        <f>'Wastewater Treatment Plant'!J96-'Wastewater Treatment Plant'!J88</f>
        <v>881794.96600000001</v>
      </c>
      <c r="J270" s="51">
        <f>'Wastewater Treatment Plant'!K96-'Wastewater Treatment Plant'!K88</f>
        <v>300000</v>
      </c>
      <c r="K270" s="51">
        <f>'Wastewater Treatment Plant'!L96-'Wastewater Treatment Plant'!L88</f>
        <v>1181794.966</v>
      </c>
    </row>
    <row r="271" spans="1:11" s="33" customFormat="1" x14ac:dyDescent="0.25">
      <c r="A271" s="33" t="s">
        <v>3480</v>
      </c>
      <c r="B271" s="51">
        <f>'Effluent Disposal'!C97</f>
        <v>279844</v>
      </c>
      <c r="C271" s="51">
        <f>'Effluent Disposal'!D97</f>
        <v>253946</v>
      </c>
      <c r="D271" s="51">
        <f>'Effluent Disposal'!E97</f>
        <v>522873</v>
      </c>
      <c r="E271" s="51">
        <f>'Effluent Disposal'!F97-'Effluent Disposal'!F89</f>
        <v>451995</v>
      </c>
      <c r="F271" s="51">
        <f>'Effluent Disposal'!G97-'Effluent Disposal'!G89</f>
        <v>270652.6799999997</v>
      </c>
      <c r="G271" s="51">
        <f>'Effluent Disposal'!H97-'Effluent Disposal'!H89</f>
        <v>299227</v>
      </c>
      <c r="H271" s="51"/>
      <c r="I271" s="51">
        <f>'Effluent Disposal'!J97-'Effluent Disposal'!J89</f>
        <v>395632.54700000025</v>
      </c>
      <c r="J271" s="51">
        <f>'Effluent Disposal'!K97-'Effluent Disposal'!K89</f>
        <v>0</v>
      </c>
      <c r="K271" s="51">
        <f>'Effluent Disposal'!L97-'Effluent Disposal'!L89</f>
        <v>395632.54700000025</v>
      </c>
    </row>
    <row r="272" spans="1:11" s="33" customFormat="1" hidden="1" x14ac:dyDescent="0.25">
      <c r="A272" s="33" t="s">
        <v>3481</v>
      </c>
      <c r="B272" s="51">
        <v>0</v>
      </c>
      <c r="C272" s="51">
        <v>0</v>
      </c>
      <c r="D272" s="51">
        <v>0</v>
      </c>
      <c r="E272" s="51">
        <v>0</v>
      </c>
      <c r="F272" s="51">
        <v>0</v>
      </c>
      <c r="G272" s="56"/>
      <c r="H272" s="51"/>
      <c r="I272" s="51">
        <v>0</v>
      </c>
      <c r="J272" s="51">
        <v>0</v>
      </c>
    </row>
    <row r="273" spans="1:11" s="33" customFormat="1" hidden="1" x14ac:dyDescent="0.25">
      <c r="A273" s="33" t="s">
        <v>3482</v>
      </c>
      <c r="B273" s="51">
        <v>0</v>
      </c>
      <c r="C273" s="51">
        <v>0</v>
      </c>
      <c r="D273" s="51">
        <v>0</v>
      </c>
      <c r="E273" s="51">
        <v>0</v>
      </c>
      <c r="F273" s="51">
        <v>0</v>
      </c>
      <c r="G273" s="56"/>
      <c r="H273" s="51"/>
      <c r="I273" s="51">
        <v>0</v>
      </c>
      <c r="J273" s="51">
        <v>0</v>
      </c>
    </row>
    <row r="274" spans="1:11" s="33" customFormat="1" x14ac:dyDescent="0.25">
      <c r="A274" s="33" t="s">
        <v>3483</v>
      </c>
      <c r="B274" s="51">
        <f>'Booster Pumps'!C92</f>
        <v>109703</v>
      </c>
      <c r="C274" s="51">
        <f>'Booster Pumps'!D92</f>
        <v>74156</v>
      </c>
      <c r="D274" s="51">
        <f>'Booster Pumps'!E92</f>
        <v>99386</v>
      </c>
      <c r="E274" s="51">
        <f>'Booster Pumps'!F92-'Booster Pumps'!F83</f>
        <v>160110</v>
      </c>
      <c r="F274" s="51">
        <f>'Booster Pumps'!G92-'Booster Pumps'!G83</f>
        <v>95118.6</v>
      </c>
      <c r="G274" s="51">
        <f>'Booster Pumps'!H92-'Booster Pumps'!H83</f>
        <v>115795</v>
      </c>
      <c r="H274" s="51"/>
      <c r="I274" s="51">
        <f>'Booster Pumps'!J92-'Booster Pumps'!J83</f>
        <v>254125.91200000001</v>
      </c>
      <c r="J274" s="51">
        <f>'Booster Pumps'!K92-'Booster Pumps'!K83</f>
        <v>0</v>
      </c>
      <c r="K274" s="51">
        <f>'Booster Pumps'!L92-'Booster Pumps'!L83</f>
        <v>254125.91200000001</v>
      </c>
    </row>
    <row r="275" spans="1:11" s="33" customFormat="1" x14ac:dyDescent="0.25">
      <c r="A275" s="33" t="s">
        <v>3484</v>
      </c>
      <c r="B275" s="51">
        <f>'Lift Stations'!C89</f>
        <v>317491</v>
      </c>
      <c r="C275" s="51">
        <f>'Lift Stations'!D89</f>
        <v>238132</v>
      </c>
      <c r="D275" s="51">
        <f>'Lift Stations'!E89</f>
        <v>467540</v>
      </c>
      <c r="E275" s="51">
        <f>'Lift Stations'!F89</f>
        <v>1242540</v>
      </c>
      <c r="F275" s="51">
        <f>'Lift Stations'!G89</f>
        <v>328799.03000000003</v>
      </c>
      <c r="G275" s="51">
        <f>'Lift Stations'!H89</f>
        <v>341810</v>
      </c>
      <c r="H275" s="51"/>
      <c r="I275" s="51">
        <f>'Lift Stations'!J89</f>
        <v>314135.40399999998</v>
      </c>
      <c r="J275" s="51">
        <f>'Lift Stations'!K89</f>
        <v>0</v>
      </c>
      <c r="K275" s="51">
        <f>'Lift Stations'!L89</f>
        <v>314135.40399999998</v>
      </c>
    </row>
    <row r="276" spans="1:11" s="33" customFormat="1" hidden="1" x14ac:dyDescent="0.25">
      <c r="A276" s="33" t="s">
        <v>3485</v>
      </c>
      <c r="B276" s="51">
        <v>0</v>
      </c>
      <c r="C276" s="51">
        <v>0</v>
      </c>
      <c r="D276" s="51">
        <v>0</v>
      </c>
      <c r="E276" s="51">
        <v>0</v>
      </c>
      <c r="F276" s="51">
        <v>0</v>
      </c>
      <c r="G276" s="51"/>
      <c r="H276" s="51"/>
      <c r="I276" s="51">
        <v>0</v>
      </c>
      <c r="J276" s="51">
        <v>0</v>
      </c>
    </row>
    <row r="277" spans="1:11" s="33" customFormat="1" x14ac:dyDescent="0.25">
      <c r="A277" s="33" t="s">
        <v>3446</v>
      </c>
      <c r="B277" s="51">
        <v>0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/>
      <c r="I277" s="51">
        <v>0</v>
      </c>
      <c r="J277" s="51">
        <v>0</v>
      </c>
      <c r="K277" s="52">
        <f>I277+J277</f>
        <v>0</v>
      </c>
    </row>
    <row r="278" spans="1:11" s="33" customFormat="1" x14ac:dyDescent="0.25">
      <c r="A278" s="33" t="s">
        <v>3486</v>
      </c>
      <c r="B278" s="51">
        <v>0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/>
      <c r="I278" s="51">
        <v>0</v>
      </c>
      <c r="J278" s="51">
        <v>0</v>
      </c>
      <c r="K278" s="52">
        <f>I278+J278</f>
        <v>0</v>
      </c>
    </row>
    <row r="279" spans="1:11" s="33" customFormat="1" x14ac:dyDescent="0.25">
      <c r="A279" s="33" t="s">
        <v>3449</v>
      </c>
      <c r="B279" s="51">
        <v>0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/>
      <c r="I279" s="51">
        <v>0</v>
      </c>
      <c r="J279" s="51">
        <v>0</v>
      </c>
      <c r="K279" s="52">
        <f>I279+J279</f>
        <v>0</v>
      </c>
    </row>
    <row r="280" spans="1:11" s="33" customFormat="1" x14ac:dyDescent="0.25">
      <c r="A280" s="33" t="s">
        <v>3487</v>
      </c>
      <c r="B280" s="51">
        <v>0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/>
      <c r="I280" s="51">
        <v>0</v>
      </c>
      <c r="J280" s="51">
        <v>0</v>
      </c>
      <c r="K280" s="52">
        <f>I280+J280</f>
        <v>0</v>
      </c>
    </row>
    <row r="281" spans="1:11" s="33" customFormat="1" x14ac:dyDescent="0.25">
      <c r="B281" s="51"/>
      <c r="C281" s="51"/>
      <c r="D281" s="51"/>
      <c r="E281" s="51"/>
      <c r="F281" s="51"/>
      <c r="G281" s="51"/>
      <c r="H281" s="51"/>
      <c r="I281" s="48"/>
      <c r="J281" s="48"/>
    </row>
    <row r="282" spans="1:11" s="33" customFormat="1" x14ac:dyDescent="0.25">
      <c r="A282" s="33" t="s">
        <v>3488</v>
      </c>
      <c r="B282" s="51">
        <f t="shared" ref="B282:G282" si="25">SUM(B260:B280)</f>
        <v>7706729</v>
      </c>
      <c r="C282" s="51">
        <f t="shared" si="25"/>
        <v>6826077</v>
      </c>
      <c r="D282" s="51">
        <f t="shared" si="25"/>
        <v>9265355</v>
      </c>
      <c r="E282" s="51">
        <f t="shared" si="25"/>
        <v>12773866</v>
      </c>
      <c r="F282" s="51">
        <f t="shared" si="25"/>
        <v>7846548.0699999994</v>
      </c>
      <c r="G282" s="51">
        <f t="shared" si="25"/>
        <v>10628024.189999999</v>
      </c>
      <c r="H282" s="51"/>
      <c r="I282" s="51">
        <f>SUM(I260:I280)</f>
        <v>10839217.063000001</v>
      </c>
      <c r="J282" s="51">
        <f>SUM(J260:J280)</f>
        <v>1263500</v>
      </c>
      <c r="K282" s="51">
        <f>SUM(K260:K280)</f>
        <v>12102717.063000001</v>
      </c>
    </row>
    <row r="283" spans="1:11" s="33" customFormat="1" x14ac:dyDescent="0.25">
      <c r="B283" s="51"/>
      <c r="C283" s="51"/>
      <c r="D283" s="51"/>
      <c r="E283" s="51"/>
      <c r="F283" s="51"/>
      <c r="G283" s="51"/>
      <c r="H283" s="51"/>
      <c r="I283" s="48"/>
      <c r="J283" s="48"/>
    </row>
    <row r="284" spans="1:11" s="33" customFormat="1" x14ac:dyDescent="0.25">
      <c r="A284" s="33" t="s">
        <v>3452</v>
      </c>
      <c r="B284" s="51">
        <f>B256-B282</f>
        <v>5286487</v>
      </c>
      <c r="C284" s="51">
        <f t="shared" ref="C284:E284" si="26">C256-C282</f>
        <v>3881612</v>
      </c>
      <c r="D284" s="51">
        <f t="shared" si="26"/>
        <v>1388415</v>
      </c>
      <c r="E284" s="51">
        <f t="shared" si="26"/>
        <v>-145242</v>
      </c>
      <c r="F284" s="51">
        <f>F256-F282</f>
        <v>660991.96999999974</v>
      </c>
      <c r="G284" s="51">
        <f>G256-G282</f>
        <v>-715472.18999999948</v>
      </c>
      <c r="H284" s="51"/>
      <c r="I284" s="51">
        <f>I256-I282</f>
        <v>-500292.06300000101</v>
      </c>
      <c r="J284" s="51">
        <f>J256-J282</f>
        <v>-1263500</v>
      </c>
      <c r="K284" s="51">
        <f>K256-K282</f>
        <v>-1763792.063000001</v>
      </c>
    </row>
    <row r="285" spans="1:11" s="33" customFormat="1" x14ac:dyDescent="0.25">
      <c r="B285" s="51"/>
      <c r="C285" s="51"/>
      <c r="D285" s="51"/>
      <c r="E285" s="51"/>
      <c r="F285" s="51"/>
      <c r="G285" s="58"/>
      <c r="H285" s="51"/>
      <c r="I285" s="51"/>
      <c r="J285" s="51"/>
    </row>
    <row r="286" spans="1:11" s="33" customFormat="1" x14ac:dyDescent="0.25">
      <c r="A286" s="55" t="s">
        <v>3453</v>
      </c>
      <c r="B286" s="51">
        <v>0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/>
      <c r="I286" s="51">
        <v>0</v>
      </c>
      <c r="J286" s="51">
        <v>0</v>
      </c>
      <c r="K286" s="51">
        <v>0</v>
      </c>
    </row>
    <row r="287" spans="1:11" s="33" customFormat="1" x14ac:dyDescent="0.25">
      <c r="B287" s="51"/>
      <c r="C287" s="51"/>
      <c r="D287" s="51"/>
      <c r="E287" s="51"/>
      <c r="F287" s="51"/>
      <c r="G287" s="51"/>
      <c r="H287" s="51"/>
      <c r="I287" s="48"/>
      <c r="J287" s="48"/>
    </row>
    <row r="288" spans="1:11" s="33" customFormat="1" x14ac:dyDescent="0.25">
      <c r="A288" s="33" t="s">
        <v>3454</v>
      </c>
      <c r="B288" s="51">
        <v>0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/>
      <c r="I288" s="51">
        <v>0</v>
      </c>
      <c r="J288" s="51">
        <v>0</v>
      </c>
      <c r="K288" s="51">
        <v>0</v>
      </c>
    </row>
    <row r="289" spans="1:11" s="33" customFormat="1" x14ac:dyDescent="0.25">
      <c r="B289" s="51"/>
      <c r="C289" s="51"/>
      <c r="D289" s="51"/>
      <c r="E289" s="51"/>
      <c r="F289" s="51"/>
      <c r="G289" s="51"/>
      <c r="H289" s="51"/>
      <c r="I289" s="48"/>
      <c r="J289" s="48"/>
    </row>
    <row r="290" spans="1:11" s="33" customFormat="1" x14ac:dyDescent="0.25">
      <c r="B290" s="51"/>
      <c r="C290" s="51"/>
      <c r="D290" s="51"/>
      <c r="E290" s="51"/>
      <c r="F290" s="51"/>
      <c r="G290" s="51"/>
      <c r="H290" s="51"/>
      <c r="I290" s="48"/>
      <c r="J290" s="48"/>
    </row>
    <row r="291" spans="1:11" s="33" customFormat="1" x14ac:dyDescent="0.25">
      <c r="A291" s="33" t="s">
        <v>3489</v>
      </c>
      <c r="G291" s="59"/>
      <c r="I291" s="48"/>
      <c r="J291" s="48"/>
    </row>
    <row r="292" spans="1:11" s="33" customFormat="1" x14ac:dyDescent="0.25">
      <c r="A292" s="33" t="s">
        <v>3490</v>
      </c>
      <c r="B292" s="59">
        <f>+B166+B168</f>
        <v>12674039</v>
      </c>
      <c r="C292" s="59">
        <f t="shared" ref="C292:G292" si="27">+C166+C168</f>
        <v>14540628</v>
      </c>
      <c r="D292" s="59">
        <f t="shared" si="27"/>
        <v>16536222</v>
      </c>
      <c r="E292" s="59">
        <f t="shared" si="27"/>
        <v>15723432</v>
      </c>
      <c r="F292" s="59">
        <f t="shared" si="27"/>
        <v>12024515.310000001</v>
      </c>
      <c r="G292" s="59">
        <f t="shared" si="27"/>
        <v>15185739</v>
      </c>
      <c r="H292" s="59"/>
      <c r="I292" s="59">
        <f>+I166+I168</f>
        <v>15487068</v>
      </c>
      <c r="J292" s="59">
        <f>+J166+J168</f>
        <v>0</v>
      </c>
      <c r="K292" s="59">
        <f>+K166+K168</f>
        <v>15487068</v>
      </c>
    </row>
    <row r="293" spans="1:11" s="33" customFormat="1" x14ac:dyDescent="0.25">
      <c r="A293" s="33" t="s">
        <v>3491</v>
      </c>
      <c r="B293" s="59">
        <f t="shared" ref="B293:G293" si="28">B213+B214</f>
        <v>420123</v>
      </c>
      <c r="C293" s="59">
        <f t="shared" si="28"/>
        <v>715721</v>
      </c>
      <c r="D293" s="59">
        <f t="shared" si="28"/>
        <v>343484</v>
      </c>
      <c r="E293" s="59">
        <f t="shared" si="28"/>
        <v>380354</v>
      </c>
      <c r="F293" s="59">
        <f t="shared" si="28"/>
        <v>246484.65999999997</v>
      </c>
      <c r="G293" s="59">
        <f t="shared" si="28"/>
        <v>313710</v>
      </c>
      <c r="H293" s="59"/>
      <c r="I293" s="59">
        <f>I213+I214</f>
        <v>343800</v>
      </c>
      <c r="J293" s="59">
        <f>J213+J214</f>
        <v>0</v>
      </c>
      <c r="K293" s="59">
        <f>K213+K214</f>
        <v>343800</v>
      </c>
    </row>
    <row r="294" spans="1:11" s="33" customFormat="1" x14ac:dyDescent="0.25">
      <c r="A294" s="33" t="s">
        <v>3492</v>
      </c>
      <c r="B294" s="59">
        <f t="shared" ref="B294:G294" si="29">+B228+B233</f>
        <v>1204687</v>
      </c>
      <c r="C294" s="59">
        <f t="shared" si="29"/>
        <v>1319485</v>
      </c>
      <c r="D294" s="59">
        <f t="shared" si="29"/>
        <v>1487871</v>
      </c>
      <c r="E294" s="59">
        <f t="shared" si="29"/>
        <v>1593219</v>
      </c>
      <c r="F294" s="59">
        <f t="shared" si="29"/>
        <v>744160.94000000006</v>
      </c>
      <c r="G294" s="59">
        <f t="shared" si="29"/>
        <v>889935</v>
      </c>
      <c r="H294" s="59"/>
      <c r="I294" s="59">
        <f>+I228+I233</f>
        <v>1185403</v>
      </c>
      <c r="J294" s="59">
        <f>+J228+J233</f>
        <v>0</v>
      </c>
      <c r="K294" s="59">
        <f>+K228+K233</f>
        <v>1185403</v>
      </c>
    </row>
    <row r="295" spans="1:11" s="33" customFormat="1" x14ac:dyDescent="0.25">
      <c r="A295" s="33" t="s">
        <v>3493</v>
      </c>
      <c r="B295" s="59">
        <f>+B256</f>
        <v>12993216</v>
      </c>
      <c r="C295" s="59">
        <f t="shared" ref="C295:K295" si="30">+C256</f>
        <v>10707689</v>
      </c>
      <c r="D295" s="59">
        <f t="shared" si="30"/>
        <v>10653770</v>
      </c>
      <c r="E295" s="59">
        <f t="shared" si="30"/>
        <v>12628624</v>
      </c>
      <c r="F295" s="59">
        <f t="shared" si="30"/>
        <v>8507540.0399999991</v>
      </c>
      <c r="G295" s="59">
        <f t="shared" si="30"/>
        <v>9912552</v>
      </c>
      <c r="H295" s="59"/>
      <c r="I295" s="59">
        <f t="shared" si="30"/>
        <v>10338925</v>
      </c>
      <c r="J295" s="59">
        <f t="shared" si="30"/>
        <v>0</v>
      </c>
      <c r="K295" s="59">
        <f t="shared" si="30"/>
        <v>10338925</v>
      </c>
    </row>
    <row r="296" spans="1:11" s="33" customFormat="1" x14ac:dyDescent="0.25">
      <c r="A296" s="33" t="s">
        <v>109</v>
      </c>
      <c r="B296" s="59">
        <f t="shared" ref="B296:G296" si="31">SUM(B292:B295)</f>
        <v>27292065</v>
      </c>
      <c r="C296" s="59">
        <f t="shared" si="31"/>
        <v>27283523</v>
      </c>
      <c r="D296" s="59">
        <f t="shared" si="31"/>
        <v>29021347</v>
      </c>
      <c r="E296" s="59">
        <f t="shared" si="31"/>
        <v>30325629</v>
      </c>
      <c r="F296" s="59">
        <f t="shared" si="31"/>
        <v>21522700.949999999</v>
      </c>
      <c r="G296" s="59">
        <f t="shared" si="31"/>
        <v>26301936</v>
      </c>
      <c r="H296" s="59"/>
      <c r="I296" s="59">
        <f>SUM(I292:I295)</f>
        <v>27355196</v>
      </c>
      <c r="J296" s="59">
        <f>SUM(J292:J295)</f>
        <v>0</v>
      </c>
      <c r="K296" s="59">
        <f>SUM(K292:K295)</f>
        <v>27355196</v>
      </c>
    </row>
    <row r="297" spans="1:11" s="33" customFormat="1" x14ac:dyDescent="0.25">
      <c r="G297" s="59"/>
      <c r="I297" s="48"/>
      <c r="J297" s="48"/>
    </row>
    <row r="298" spans="1:11" s="33" customFormat="1" x14ac:dyDescent="0.25">
      <c r="A298" s="33" t="s">
        <v>3494</v>
      </c>
      <c r="G298" s="59"/>
      <c r="I298" s="48"/>
      <c r="J298" s="48"/>
    </row>
    <row r="299" spans="1:11" s="33" customFormat="1" x14ac:dyDescent="0.25">
      <c r="A299" s="33" t="s">
        <v>3490</v>
      </c>
      <c r="B299" s="59">
        <f t="shared" ref="B299:G299" si="32">+B200</f>
        <v>10834697</v>
      </c>
      <c r="C299" s="59">
        <f t="shared" si="32"/>
        <v>12138109</v>
      </c>
      <c r="D299" s="59">
        <f t="shared" si="32"/>
        <v>12990329</v>
      </c>
      <c r="E299" s="59">
        <f t="shared" si="32"/>
        <v>15107195</v>
      </c>
      <c r="F299" s="59">
        <f t="shared" si="32"/>
        <v>9673996.1000000015</v>
      </c>
      <c r="G299" s="59">
        <f t="shared" si="32"/>
        <v>10972396.299999999</v>
      </c>
      <c r="H299" s="59"/>
      <c r="I299" s="59">
        <f>+I200</f>
        <v>11714560.269000003</v>
      </c>
      <c r="J299" s="59">
        <f>+J200</f>
        <v>421602.76</v>
      </c>
      <c r="K299" s="59">
        <f>+K200</f>
        <v>12090403.029000003</v>
      </c>
    </row>
    <row r="300" spans="1:11" s="33" customFormat="1" x14ac:dyDescent="0.25">
      <c r="A300" s="33" t="s">
        <v>3491</v>
      </c>
      <c r="B300" s="59">
        <f t="shared" ref="B300:G300" si="33">B215</f>
        <v>490805</v>
      </c>
      <c r="C300" s="59">
        <f t="shared" si="33"/>
        <v>268959</v>
      </c>
      <c r="D300" s="59">
        <f t="shared" si="33"/>
        <v>306113</v>
      </c>
      <c r="E300" s="59">
        <f t="shared" si="33"/>
        <v>380357</v>
      </c>
      <c r="F300" s="59">
        <f t="shared" si="33"/>
        <v>307936.74</v>
      </c>
      <c r="G300" s="59">
        <f t="shared" si="33"/>
        <v>350302</v>
      </c>
      <c r="H300" s="59"/>
      <c r="I300" s="59">
        <f>I215</f>
        <v>323514.07</v>
      </c>
      <c r="J300" s="59">
        <f>J215</f>
        <v>0</v>
      </c>
      <c r="K300" s="59">
        <f>K215</f>
        <v>323514.07</v>
      </c>
    </row>
    <row r="301" spans="1:11" s="33" customFormat="1" x14ac:dyDescent="0.25">
      <c r="A301" s="33" t="s">
        <v>3492</v>
      </c>
      <c r="B301" s="59">
        <f t="shared" ref="B301:G301" si="34">+B243</f>
        <v>821490</v>
      </c>
      <c r="C301" s="59">
        <f t="shared" si="34"/>
        <v>1128565</v>
      </c>
      <c r="D301" s="59">
        <f t="shared" si="34"/>
        <v>1219496</v>
      </c>
      <c r="E301" s="59">
        <f t="shared" si="34"/>
        <v>1593221</v>
      </c>
      <c r="F301" s="59">
        <f t="shared" si="34"/>
        <v>1095687.96</v>
      </c>
      <c r="G301" s="59">
        <f t="shared" si="34"/>
        <v>1224728.27</v>
      </c>
      <c r="H301" s="59"/>
      <c r="I301" s="59">
        <f>+I243</f>
        <v>1410755.2619999999</v>
      </c>
      <c r="J301" s="59">
        <f>+J243</f>
        <v>75000</v>
      </c>
      <c r="K301" s="59">
        <f>+K243</f>
        <v>1485755.2619999999</v>
      </c>
    </row>
    <row r="302" spans="1:11" s="33" customFormat="1" x14ac:dyDescent="0.25">
      <c r="A302" s="33" t="s">
        <v>3493</v>
      </c>
      <c r="B302" s="59">
        <f t="shared" ref="B302:G302" si="35">+B282</f>
        <v>7706729</v>
      </c>
      <c r="C302" s="59">
        <f t="shared" si="35"/>
        <v>6826077</v>
      </c>
      <c r="D302" s="59">
        <f t="shared" si="35"/>
        <v>9265355</v>
      </c>
      <c r="E302" s="59">
        <f t="shared" si="35"/>
        <v>12773866</v>
      </c>
      <c r="F302" s="59">
        <f t="shared" si="35"/>
        <v>7846548.0699999994</v>
      </c>
      <c r="G302" s="59">
        <f t="shared" si="35"/>
        <v>10628024.189999999</v>
      </c>
      <c r="H302" s="59"/>
      <c r="I302" s="59">
        <f>+I282</f>
        <v>10839217.063000001</v>
      </c>
      <c r="J302" s="59">
        <f>+J282</f>
        <v>1263500</v>
      </c>
      <c r="K302" s="59">
        <f>+K282</f>
        <v>12102717.063000001</v>
      </c>
    </row>
    <row r="303" spans="1:11" s="33" customFormat="1" x14ac:dyDescent="0.25">
      <c r="A303" s="33" t="s">
        <v>109</v>
      </c>
      <c r="B303" s="59">
        <f t="shared" ref="B303:G303" si="36">SUM(B299:B302)</f>
        <v>19853721</v>
      </c>
      <c r="C303" s="59">
        <f t="shared" si="36"/>
        <v>20361710</v>
      </c>
      <c r="D303" s="59">
        <f t="shared" si="36"/>
        <v>23781293</v>
      </c>
      <c r="E303" s="59">
        <f t="shared" si="36"/>
        <v>29854639</v>
      </c>
      <c r="F303" s="59">
        <f t="shared" si="36"/>
        <v>18924168.870000001</v>
      </c>
      <c r="G303" s="59">
        <f t="shared" si="36"/>
        <v>23175450.759999998</v>
      </c>
      <c r="H303" s="59"/>
      <c r="I303" s="59">
        <f>SUM(I299:I302)</f>
        <v>24288046.664000005</v>
      </c>
      <c r="J303" s="59">
        <f>SUM(J299:J302)</f>
        <v>1760102.76</v>
      </c>
      <c r="K303" s="59">
        <f>SUM(K299:K302)</f>
        <v>26002389.424000002</v>
      </c>
    </row>
    <row r="304" spans="1:11" s="33" customFormat="1" x14ac:dyDescent="0.25">
      <c r="I304" s="48"/>
      <c r="J304" s="48"/>
    </row>
    <row r="305" spans="1:11" s="33" customFormat="1" x14ac:dyDescent="0.25">
      <c r="A305" s="33" t="s">
        <v>3495</v>
      </c>
      <c r="B305" s="59">
        <f>+B296-B303</f>
        <v>7438344</v>
      </c>
      <c r="C305" s="59">
        <f>+C296-C303</f>
        <v>6921813</v>
      </c>
      <c r="D305" s="59">
        <f t="shared" ref="D305:G305" si="37">+D296-D303</f>
        <v>5240054</v>
      </c>
      <c r="E305" s="59">
        <f t="shared" si="37"/>
        <v>470990</v>
      </c>
      <c r="F305" s="59">
        <f t="shared" si="37"/>
        <v>2598532.0799999982</v>
      </c>
      <c r="G305" s="59">
        <f t="shared" si="37"/>
        <v>3126485.2400000021</v>
      </c>
      <c r="H305" s="59"/>
      <c r="I305" s="59">
        <f>+I296-I303</f>
        <v>3067149.3359999955</v>
      </c>
      <c r="J305" s="59">
        <f>+J296-J303</f>
        <v>-1760102.76</v>
      </c>
      <c r="K305" s="59">
        <f>+K296-K303</f>
        <v>1352806.5759999976</v>
      </c>
    </row>
    <row r="310" spans="1:11" ht="21" x14ac:dyDescent="0.35">
      <c r="C310" s="71" t="s">
        <v>3785</v>
      </c>
      <c r="D310" s="71"/>
    </row>
    <row r="312" spans="1:11" s="33" customFormat="1" x14ac:dyDescent="0.25">
      <c r="A312" s="49" t="s">
        <v>3418</v>
      </c>
      <c r="C312" s="50" t="s">
        <v>3419</v>
      </c>
      <c r="D312" s="50"/>
      <c r="H312" s="50"/>
      <c r="I312" s="48"/>
      <c r="J312" s="48"/>
    </row>
    <row r="313" spans="1:11" s="33" customFormat="1" x14ac:dyDescent="0.25">
      <c r="A313" s="49"/>
      <c r="B313" s="51"/>
      <c r="C313" s="50"/>
      <c r="D313" s="50"/>
      <c r="E313" s="51"/>
      <c r="F313" s="51"/>
      <c r="H313" s="50"/>
      <c r="I313" s="48"/>
      <c r="J313" s="48"/>
    </row>
    <row r="314" spans="1:11" s="33" customFormat="1" x14ac:dyDescent="0.25">
      <c r="A314" s="39" t="s">
        <v>3420</v>
      </c>
      <c r="B314" s="51">
        <v>0</v>
      </c>
      <c r="C314" s="51">
        <v>0</v>
      </c>
      <c r="D314" s="51">
        <v>0</v>
      </c>
      <c r="E314" s="51">
        <v>0</v>
      </c>
      <c r="F314" s="51">
        <v>0</v>
      </c>
      <c r="G314" s="51">
        <v>0</v>
      </c>
      <c r="H314" s="51"/>
      <c r="I314" s="51">
        <v>0</v>
      </c>
      <c r="J314" s="51">
        <v>0</v>
      </c>
      <c r="K314" s="52">
        <v>0</v>
      </c>
    </row>
    <row r="315" spans="1:11" s="33" customFormat="1" x14ac:dyDescent="0.25">
      <c r="B315" s="53"/>
      <c r="E315" s="53"/>
      <c r="F315" s="53"/>
      <c r="G315" s="54"/>
      <c r="I315" s="48"/>
      <c r="J315" s="48"/>
    </row>
    <row r="316" spans="1:11" s="33" customFormat="1" x14ac:dyDescent="0.25">
      <c r="A316" s="55" t="s">
        <v>3421</v>
      </c>
      <c r="B316" s="51">
        <f>('General Fund Revenue'!C238)-B318</f>
        <v>11074039</v>
      </c>
      <c r="C316" s="51">
        <f>('General Fund Revenue'!D238)-C318</f>
        <v>12480985</v>
      </c>
      <c r="D316" s="51">
        <f>('General Fund Revenue'!E238)-D318</f>
        <v>14476579</v>
      </c>
      <c r="E316" s="51">
        <f>('General Fund Revenue'!F238)-E318</f>
        <v>12079859</v>
      </c>
      <c r="F316" s="51">
        <f>('General Fund Revenue'!G238)-F318</f>
        <v>10479783.030000001</v>
      </c>
      <c r="G316" s="51">
        <f>('General Fund Revenue'!H238)-G318</f>
        <v>11542166</v>
      </c>
      <c r="H316" s="51"/>
      <c r="I316" s="51">
        <f>('General Fund Revenue'!J238)-I318</f>
        <v>11843495</v>
      </c>
      <c r="J316" s="51">
        <f>('General Fund Revenue'!K238)-J318</f>
        <v>0</v>
      </c>
      <c r="K316" s="51">
        <f>('General Fund Revenue'!L238)-K318</f>
        <v>11843495</v>
      </c>
    </row>
    <row r="317" spans="1:11" s="33" customFormat="1" x14ac:dyDescent="0.25">
      <c r="B317" s="51"/>
      <c r="C317" s="51"/>
      <c r="D317" s="51"/>
      <c r="E317" s="51"/>
      <c r="F317" s="51"/>
      <c r="G317" s="51"/>
      <c r="H317" s="51"/>
      <c r="I317" s="48"/>
      <c r="J317" s="48"/>
    </row>
    <row r="318" spans="1:11" s="33" customFormat="1" x14ac:dyDescent="0.25">
      <c r="A318" s="55" t="s">
        <v>3422</v>
      </c>
      <c r="B318" s="51">
        <f>'General Fund Revenue'!C45</f>
        <v>1600000</v>
      </c>
      <c r="C318" s="51">
        <f>'General Fund Revenue'!D45</f>
        <v>2059643</v>
      </c>
      <c r="D318" s="51">
        <f>'General Fund Revenue'!E45</f>
        <v>2059643</v>
      </c>
      <c r="E318" s="51">
        <f>'General Fund Revenue'!F45</f>
        <v>3643573</v>
      </c>
      <c r="F318" s="51">
        <f>'General Fund Revenue'!G45</f>
        <v>1544732.28</v>
      </c>
      <c r="G318" s="51">
        <f>'General Fund Revenue'!H45</f>
        <v>3643573</v>
      </c>
      <c r="H318" s="51"/>
      <c r="I318" s="51">
        <f>'General Fund Revenue'!J45</f>
        <v>3643573</v>
      </c>
      <c r="J318" s="51">
        <f>'General Fund Revenue'!K45</f>
        <v>0</v>
      </c>
      <c r="K318" s="51">
        <f>'General Fund Revenue'!L45</f>
        <v>3643573</v>
      </c>
    </row>
    <row r="319" spans="1:11" s="33" customFormat="1" x14ac:dyDescent="0.25">
      <c r="B319" s="51"/>
      <c r="C319" s="51"/>
      <c r="D319" s="51"/>
      <c r="E319" s="51"/>
      <c r="F319" s="51"/>
      <c r="G319" s="51"/>
      <c r="H319" s="51"/>
      <c r="I319" s="48"/>
      <c r="J319" s="48"/>
    </row>
    <row r="320" spans="1:11" s="33" customFormat="1" x14ac:dyDescent="0.25">
      <c r="A320" s="55" t="s">
        <v>3423</v>
      </c>
      <c r="B320" s="51"/>
      <c r="C320" s="51"/>
      <c r="D320" s="51"/>
      <c r="E320" s="51"/>
      <c r="F320" s="51"/>
      <c r="G320" s="51"/>
      <c r="H320" s="51"/>
      <c r="I320" s="48"/>
      <c r="J320" s="48"/>
    </row>
    <row r="321" spans="1:11" s="33" customFormat="1" x14ac:dyDescent="0.25">
      <c r="B321" s="51"/>
      <c r="C321" s="51"/>
      <c r="D321" s="51"/>
      <c r="E321" s="51"/>
      <c r="F321" s="51"/>
      <c r="G321" s="51"/>
      <c r="H321" s="51"/>
      <c r="I321" s="48"/>
      <c r="J321" s="48"/>
    </row>
    <row r="322" spans="1:11" s="33" customFormat="1" x14ac:dyDescent="0.25">
      <c r="A322" s="33" t="s">
        <v>3424</v>
      </c>
      <c r="B322" s="51">
        <f>Admin!C112</f>
        <v>292410</v>
      </c>
      <c r="C322" s="51">
        <f>Admin!D112</f>
        <v>495339</v>
      </c>
      <c r="D322" s="51">
        <f>Admin!E112</f>
        <v>410794</v>
      </c>
      <c r="E322" s="51">
        <f>Admin!F112</f>
        <v>420027</v>
      </c>
      <c r="F322" s="51">
        <f>Admin!G112</f>
        <v>449523.93</v>
      </c>
      <c r="G322" s="51">
        <f>Admin!H112</f>
        <v>385082</v>
      </c>
      <c r="H322" s="51"/>
      <c r="I322" s="51">
        <f>Admin!J112</f>
        <v>321829.56</v>
      </c>
      <c r="J322" s="51">
        <f>Admin!K112</f>
        <v>0</v>
      </c>
      <c r="K322" s="51">
        <f>Admin!L112</f>
        <v>321829.56</v>
      </c>
    </row>
    <row r="323" spans="1:11" s="33" customFormat="1" x14ac:dyDescent="0.25">
      <c r="A323" s="33" t="s">
        <v>3425</v>
      </c>
      <c r="B323" s="51">
        <f>'Non Departmental'!C73</f>
        <v>148851</v>
      </c>
      <c r="C323" s="51">
        <f>'Non Departmental'!D73</f>
        <v>231610</v>
      </c>
      <c r="D323" s="51">
        <f>'Non Departmental'!E73</f>
        <v>367357</v>
      </c>
      <c r="E323" s="51">
        <f>'Non Departmental'!F73</f>
        <v>885796</v>
      </c>
      <c r="F323" s="51">
        <f>'Non Departmental'!G73</f>
        <v>301146.31</v>
      </c>
      <c r="G323" s="51">
        <f>'Non Departmental'!H73</f>
        <v>337986</v>
      </c>
      <c r="H323" s="51"/>
      <c r="I323" s="51">
        <f>'Non Departmental'!J73</f>
        <v>138250</v>
      </c>
      <c r="J323" s="51">
        <f>'Non Departmental'!K73</f>
        <v>40350</v>
      </c>
      <c r="K323" s="51">
        <f>'Non Departmental'!L73</f>
        <v>178600</v>
      </c>
    </row>
    <row r="324" spans="1:11" s="33" customFormat="1" x14ac:dyDescent="0.25">
      <c r="A324" s="33" t="s">
        <v>3426</v>
      </c>
      <c r="B324" s="51">
        <f>'Development Service'!C116</f>
        <v>887058</v>
      </c>
      <c r="C324" s="51">
        <f>'Development Service'!D116</f>
        <v>1038672</v>
      </c>
      <c r="D324" s="51">
        <f>'Development Service'!E116</f>
        <v>1056120</v>
      </c>
      <c r="E324" s="51">
        <f>'Development Service'!F116</f>
        <v>1272088</v>
      </c>
      <c r="F324" s="51">
        <f>'Development Service'!G116</f>
        <v>806193.95999999985</v>
      </c>
      <c r="G324" s="51">
        <f>'Development Service'!H116</f>
        <v>915371.81</v>
      </c>
      <c r="H324" s="51"/>
      <c r="I324" s="51">
        <f>'Development Service'!J116</f>
        <v>820639.08700000006</v>
      </c>
      <c r="J324" s="51">
        <f>'Development Service'!K116</f>
        <v>0</v>
      </c>
      <c r="K324" s="51">
        <f>'Development Service'!L116</f>
        <v>820639.08700000006</v>
      </c>
    </row>
    <row r="325" spans="1:11" s="33" customFormat="1" x14ac:dyDescent="0.25">
      <c r="A325" s="33" t="s">
        <v>3427</v>
      </c>
      <c r="B325" s="51">
        <f>Finance!C97</f>
        <v>297441</v>
      </c>
      <c r="C325" s="51">
        <f>Finance!D97</f>
        <v>412206</v>
      </c>
      <c r="D325" s="51">
        <f>Finance!E97</f>
        <v>693094</v>
      </c>
      <c r="E325" s="51">
        <f>Finance!F97</f>
        <v>675039</v>
      </c>
      <c r="F325" s="51">
        <f>Finance!G97</f>
        <v>373678.92999999993</v>
      </c>
      <c r="G325" s="51">
        <f>Finance!H97</f>
        <v>466538</v>
      </c>
      <c r="H325" s="51"/>
      <c r="I325" s="51">
        <f>Finance!J97</f>
        <v>524300.21200000006</v>
      </c>
      <c r="J325" s="51">
        <f>Finance!K97</f>
        <v>0</v>
      </c>
      <c r="K325" s="51">
        <f>Finance!L97</f>
        <v>478540.212</v>
      </c>
    </row>
    <row r="326" spans="1:11" s="33" customFormat="1" x14ac:dyDescent="0.25">
      <c r="A326" s="33" t="s">
        <v>3428</v>
      </c>
      <c r="B326" s="51">
        <f>HR!C97</f>
        <v>154903</v>
      </c>
      <c r="C326" s="51">
        <f>HR!D97</f>
        <v>168185</v>
      </c>
      <c r="D326" s="51">
        <f>HR!E97</f>
        <v>172100</v>
      </c>
      <c r="E326" s="51">
        <f>HR!F97</f>
        <v>202444</v>
      </c>
      <c r="F326" s="51">
        <f>HR!G97</f>
        <v>131694.42000000001</v>
      </c>
      <c r="G326" s="51">
        <f>HR!H97</f>
        <v>167678.35999999999</v>
      </c>
      <c r="H326" s="51"/>
      <c r="I326" s="51">
        <f>HR!J97</f>
        <v>204224.32600000003</v>
      </c>
      <c r="J326" s="51">
        <f>HR!K97</f>
        <v>0</v>
      </c>
      <c r="K326" s="51">
        <f>HR!L97</f>
        <v>204224.32600000003</v>
      </c>
    </row>
    <row r="327" spans="1:11" s="33" customFormat="1" x14ac:dyDescent="0.25">
      <c r="A327" s="33" t="s">
        <v>3429</v>
      </c>
      <c r="B327" s="51">
        <f>Court!C91</f>
        <v>174735</v>
      </c>
      <c r="C327" s="51">
        <f>Court!D91</f>
        <v>196093</v>
      </c>
      <c r="D327" s="51">
        <f>Court!E91</f>
        <v>185132</v>
      </c>
      <c r="E327" s="51">
        <f>Court!F91</f>
        <v>232507</v>
      </c>
      <c r="F327" s="51">
        <f>Court!G91</f>
        <v>172377.15000000005</v>
      </c>
      <c r="G327" s="51">
        <f>Court!H91</f>
        <v>223808</v>
      </c>
      <c r="H327" s="51"/>
      <c r="I327" s="51">
        <f>Court!J91</f>
        <v>229029.00599999999</v>
      </c>
      <c r="J327" s="51">
        <f>Court!K91</f>
        <v>0</v>
      </c>
      <c r="K327" s="51">
        <f>Court!L91</f>
        <v>229029.00599999999</v>
      </c>
    </row>
    <row r="328" spans="1:11" s="33" customFormat="1" x14ac:dyDescent="0.25">
      <c r="A328" s="33" t="s">
        <v>3430</v>
      </c>
      <c r="B328" s="51">
        <f>'City Secretary'!C77</f>
        <v>121026</v>
      </c>
      <c r="C328" s="51">
        <f>'City Secretary'!D77</f>
        <v>118461</v>
      </c>
      <c r="D328" s="51">
        <f>'City Secretary'!E77</f>
        <v>154175</v>
      </c>
      <c r="E328" s="51">
        <f>'City Secretary'!F77</f>
        <v>150634</v>
      </c>
      <c r="F328" s="51">
        <f>'City Secretary'!G77</f>
        <v>182703.03000000003</v>
      </c>
      <c r="G328" s="51">
        <f>'City Secretary'!H77</f>
        <v>201527</v>
      </c>
      <c r="H328" s="51"/>
      <c r="I328" s="51">
        <f>'City Secretary'!J77</f>
        <v>177197.37599999999</v>
      </c>
      <c r="J328" s="51">
        <f>'City Secretary'!K77</f>
        <v>0</v>
      </c>
      <c r="K328" s="51">
        <f>'City Secretary'!L77</f>
        <v>177197.37599999999</v>
      </c>
    </row>
    <row r="329" spans="1:11" s="33" customFormat="1" x14ac:dyDescent="0.25">
      <c r="A329" s="33" t="s">
        <v>3431</v>
      </c>
      <c r="B329" s="51">
        <f>'Economic Development'!C112</f>
        <v>285913</v>
      </c>
      <c r="C329" s="51">
        <f>'Economic Development'!D112</f>
        <v>256923</v>
      </c>
      <c r="D329" s="51">
        <f>'Economic Development'!E112</f>
        <v>254570</v>
      </c>
      <c r="E329" s="51">
        <f>'Economic Development'!F112</f>
        <v>348326</v>
      </c>
      <c r="F329" s="51">
        <f>'Economic Development'!G112</f>
        <v>260513.57</v>
      </c>
      <c r="G329" s="51">
        <f>'Economic Development'!H112</f>
        <v>301366.62</v>
      </c>
      <c r="H329" s="51"/>
      <c r="I329" s="51">
        <f>'Economic Development'!J112</f>
        <v>381495.82299999997</v>
      </c>
      <c r="J329" s="51">
        <f>'Economic Development'!K112</f>
        <v>5000</v>
      </c>
      <c r="K329" s="51">
        <f>'Economic Development'!L112</f>
        <v>386495.82299999997</v>
      </c>
    </row>
    <row r="330" spans="1:11" s="33" customFormat="1" x14ac:dyDescent="0.25">
      <c r="A330" s="33" t="s">
        <v>3432</v>
      </c>
      <c r="B330" s="51">
        <f>Legal!C95</f>
        <v>209267</v>
      </c>
      <c r="C330" s="51">
        <f>Legal!D95</f>
        <v>427268</v>
      </c>
      <c r="D330" s="51">
        <f>Legal!E95</f>
        <v>474430</v>
      </c>
      <c r="E330" s="51">
        <f>Legal!F95</f>
        <v>405000</v>
      </c>
      <c r="F330" s="51">
        <f>Legal!G95</f>
        <v>328524.51</v>
      </c>
      <c r="G330" s="51">
        <f>Legal!H95</f>
        <v>405000</v>
      </c>
      <c r="H330" s="51"/>
      <c r="I330" s="51">
        <f>Legal!J95</f>
        <v>450000</v>
      </c>
      <c r="J330" s="51">
        <f>Legal!K95</f>
        <v>0</v>
      </c>
      <c r="K330" s="51">
        <f>Legal!L95</f>
        <v>450000</v>
      </c>
    </row>
    <row r="331" spans="1:11" s="33" customFormat="1" x14ac:dyDescent="0.25">
      <c r="A331" s="33" t="s">
        <v>3433</v>
      </c>
      <c r="B331" s="51">
        <f>'Police Department'!C170</f>
        <v>2206657</v>
      </c>
      <c r="C331" s="51">
        <f>'Police Department'!D170</f>
        <v>2833629</v>
      </c>
      <c r="D331" s="51">
        <f>'Police Department'!E170</f>
        <v>3028028</v>
      </c>
      <c r="E331" s="51">
        <f>'Police Department'!F170</f>
        <v>3755883</v>
      </c>
      <c r="F331" s="51">
        <f>'Police Department'!G170</f>
        <v>2734794.5</v>
      </c>
      <c r="G331" s="51">
        <f>'Police Department'!H170</f>
        <v>3145090</v>
      </c>
      <c r="H331" s="51"/>
      <c r="I331" s="51">
        <f>'Police Department'!J170</f>
        <v>3456088.7690000003</v>
      </c>
      <c r="J331" s="51">
        <f>'Police Department'!K170</f>
        <v>206702.76</v>
      </c>
      <c r="K331" s="51">
        <f>'Police Department'!L170</f>
        <v>3662791.5290000001</v>
      </c>
    </row>
    <row r="332" spans="1:11" s="33" customFormat="1" x14ac:dyDescent="0.25">
      <c r="A332" s="33" t="s">
        <v>3434</v>
      </c>
      <c r="B332" s="51">
        <f>'Code Enforcement'!C99</f>
        <v>0</v>
      </c>
      <c r="C332" s="51">
        <f>'Code Enforcement'!D99</f>
        <v>0</v>
      </c>
      <c r="D332" s="51">
        <f>'Code Enforcement'!E99</f>
        <v>0</v>
      </c>
      <c r="E332" s="51">
        <f>'Code Enforcement'!F99</f>
        <v>243714</v>
      </c>
      <c r="F332" s="51">
        <f>'Code Enforcement'!G99</f>
        <v>180073.36999999997</v>
      </c>
      <c r="G332" s="51">
        <f>'Code Enforcement'!H99</f>
        <v>200834</v>
      </c>
      <c r="H332" s="51"/>
      <c r="I332" s="51">
        <f>'Code Enforcement'!J99</f>
        <v>215095.29800000001</v>
      </c>
      <c r="J332" s="51">
        <f>'Code Enforcement'!K99</f>
        <v>5000</v>
      </c>
      <c r="K332" s="51">
        <f>'Code Enforcement'!L99</f>
        <v>220095.29800000001</v>
      </c>
    </row>
    <row r="333" spans="1:11" s="33" customFormat="1" x14ac:dyDescent="0.25">
      <c r="A333" s="33" t="s">
        <v>3435</v>
      </c>
      <c r="B333" s="51">
        <f>Dispatch!C94</f>
        <v>372680</v>
      </c>
      <c r="C333" s="51">
        <f>Dispatch!D94</f>
        <v>508121</v>
      </c>
      <c r="D333" s="51">
        <f>Dispatch!E94</f>
        <v>475522</v>
      </c>
      <c r="E333" s="51">
        <f>Dispatch!F94</f>
        <v>666800</v>
      </c>
      <c r="F333" s="51">
        <f>Dispatch!G94</f>
        <v>383143.13</v>
      </c>
      <c r="G333" s="51">
        <f>Dispatch!H94</f>
        <v>427704</v>
      </c>
      <c r="H333" s="51"/>
      <c r="I333" s="51">
        <f>Dispatch!J94</f>
        <v>466040.12400000001</v>
      </c>
      <c r="J333" s="51">
        <f>Dispatch!K94</f>
        <v>3000</v>
      </c>
      <c r="K333" s="51">
        <f>Dispatch!L94</f>
        <v>469040.12400000001</v>
      </c>
    </row>
    <row r="334" spans="1:11" s="33" customFormat="1" x14ac:dyDescent="0.25">
      <c r="A334" s="33" t="s">
        <v>3436</v>
      </c>
      <c r="B334" s="51">
        <f>Streets!C129</f>
        <v>3049647</v>
      </c>
      <c r="C334" s="51">
        <f>Streets!D129</f>
        <v>1790206</v>
      </c>
      <c r="D334" s="51">
        <f>Streets!E129</f>
        <v>2239703</v>
      </c>
      <c r="E334" s="51">
        <f>Streets!F129</f>
        <v>1284218</v>
      </c>
      <c r="F334" s="51">
        <f>Streets!G129</f>
        <v>764693.66</v>
      </c>
      <c r="G334" s="51">
        <f>Streets!H129</f>
        <v>885786.56</v>
      </c>
      <c r="H334" s="51"/>
      <c r="I334" s="51">
        <f>Streets!J129</f>
        <v>1075307.436</v>
      </c>
      <c r="J334" s="51">
        <f>Streets!K129</f>
        <v>2691</v>
      </c>
      <c r="K334" s="51">
        <f>Streets!L129</f>
        <v>1077998.436</v>
      </c>
    </row>
    <row r="335" spans="1:11" s="33" customFormat="1" x14ac:dyDescent="0.25">
      <c r="A335" s="33" t="s">
        <v>3437</v>
      </c>
      <c r="B335" s="51">
        <f>'Solid Waste'!C65</f>
        <v>993482</v>
      </c>
      <c r="C335" s="51">
        <f>'Solid Waste'!D65</f>
        <v>1202774</v>
      </c>
      <c r="D335" s="51">
        <f>'Solid Waste'!E65</f>
        <v>1134736</v>
      </c>
      <c r="E335" s="51">
        <f>'Solid Waste'!F65</f>
        <v>1333171</v>
      </c>
      <c r="F335" s="51">
        <f>'Solid Waste'!G65</f>
        <v>1138050.82</v>
      </c>
      <c r="G335" s="51">
        <f>'Solid Waste'!H65</f>
        <v>1239275</v>
      </c>
      <c r="H335" s="51"/>
      <c r="I335" s="51">
        <f>'Solid Waste'!J65</f>
        <v>1207780.8</v>
      </c>
      <c r="J335" s="51">
        <f>'Solid Waste'!K65</f>
        <v>57859</v>
      </c>
      <c r="K335" s="51">
        <f>'Solid Waste'!L65</f>
        <v>1265639.8</v>
      </c>
    </row>
    <row r="336" spans="1:11" s="33" customFormat="1" x14ac:dyDescent="0.25">
      <c r="A336" s="33" t="s">
        <v>3438</v>
      </c>
      <c r="B336" s="51">
        <f>'Building Maintenance'!C49</f>
        <v>34506</v>
      </c>
      <c r="C336" s="51">
        <f>'Building Maintenance'!D49</f>
        <v>46070</v>
      </c>
      <c r="D336" s="51">
        <f>'Building Maintenance'!E49</f>
        <v>57456</v>
      </c>
      <c r="E336" s="51">
        <f>'Building Maintenance'!F49</f>
        <v>90950</v>
      </c>
      <c r="F336" s="51">
        <f>'Building Maintenance'!G49</f>
        <v>64714.880000000005</v>
      </c>
      <c r="G336" s="51">
        <f>'Building Maintenance'!H49</f>
        <v>74930</v>
      </c>
      <c r="H336" s="51"/>
      <c r="I336" s="51">
        <f>'Building Maintenance'!J49</f>
        <v>45130</v>
      </c>
      <c r="J336" s="51">
        <f>'Building Maintenance'!K49</f>
        <v>0</v>
      </c>
      <c r="K336" s="51">
        <f>'Building Maintenance'!L49</f>
        <v>45130</v>
      </c>
    </row>
    <row r="337" spans="1:11" s="33" customFormat="1" x14ac:dyDescent="0.25">
      <c r="A337" s="33" t="s">
        <v>3439</v>
      </c>
      <c r="B337" s="51">
        <f>'Parks &amp; Rec'!C115</f>
        <v>374670</v>
      </c>
      <c r="C337" s="51">
        <f>'Parks &amp; Rec'!D115</f>
        <v>660780</v>
      </c>
      <c r="D337" s="51">
        <f>'Parks &amp; Rec'!E115</f>
        <v>396360</v>
      </c>
      <c r="E337" s="51">
        <f>'Parks &amp; Rec'!F115</f>
        <v>1217094</v>
      </c>
      <c r="F337" s="51">
        <f>'Parks &amp; Rec'!G115</f>
        <v>739944.75</v>
      </c>
      <c r="G337" s="51">
        <f>'Parks &amp; Rec'!H115</f>
        <v>682482.61</v>
      </c>
      <c r="H337" s="51"/>
      <c r="I337" s="51">
        <f>'Parks &amp; Rec'!J115</f>
        <v>972475.51</v>
      </c>
      <c r="J337" s="51">
        <f>'Parks &amp; Rec'!K115</f>
        <v>100000</v>
      </c>
      <c r="K337" s="51">
        <f>'Parks &amp; Rec'!L115</f>
        <v>1072475.51</v>
      </c>
    </row>
    <row r="338" spans="1:11" s="33" customFormat="1" x14ac:dyDescent="0.25">
      <c r="A338" s="33" t="s">
        <v>3440</v>
      </c>
      <c r="B338" s="51">
        <f>Aquatics!C73</f>
        <v>156283</v>
      </c>
      <c r="C338" s="51">
        <f>Aquatics!D73</f>
        <v>96685</v>
      </c>
      <c r="D338" s="51">
        <f>Aquatics!E73</f>
        <v>233767</v>
      </c>
      <c r="E338" s="51">
        <f>Aquatics!F73</f>
        <v>176742</v>
      </c>
      <c r="F338" s="51">
        <f>Aquatics!G73</f>
        <v>113246.23999999999</v>
      </c>
      <c r="G338" s="51">
        <f>Aquatics!H73</f>
        <v>135587.78</v>
      </c>
      <c r="H338" s="51"/>
      <c r="I338" s="51">
        <f>Aquatics!J73</f>
        <v>158370.95799999998</v>
      </c>
      <c r="J338" s="51">
        <f>Aquatics!K73</f>
        <v>16000</v>
      </c>
      <c r="K338" s="51">
        <f>Aquatics!L73</f>
        <v>174370.95799999998</v>
      </c>
    </row>
    <row r="339" spans="1:11" s="33" customFormat="1" hidden="1" x14ac:dyDescent="0.25">
      <c r="A339" s="33" t="s">
        <v>3441</v>
      </c>
      <c r="B339" s="51"/>
      <c r="C339" s="51"/>
      <c r="D339" s="51"/>
      <c r="E339" s="51"/>
      <c r="F339" s="51"/>
      <c r="G339" s="56"/>
      <c r="H339" s="51"/>
      <c r="I339" s="51"/>
      <c r="J339" s="51"/>
    </row>
    <row r="340" spans="1:11" s="33" customFormat="1" x14ac:dyDescent="0.25">
      <c r="A340" s="33" t="s">
        <v>3442</v>
      </c>
      <c r="B340" s="51">
        <f>Library!C96</f>
        <v>215209</v>
      </c>
      <c r="C340" s="51">
        <f>Library!D96</f>
        <v>271486</v>
      </c>
      <c r="D340" s="51">
        <f>Library!E96</f>
        <v>333800</v>
      </c>
      <c r="E340" s="51">
        <f>Library!F96</f>
        <v>387126</v>
      </c>
      <c r="F340" s="51">
        <f>Library!G96</f>
        <v>311479.13</v>
      </c>
      <c r="G340" s="51">
        <f>Library!H96</f>
        <v>361226</v>
      </c>
      <c r="H340" s="51"/>
      <c r="I340" s="51">
        <f>Library!J96</f>
        <v>367824.61699999997</v>
      </c>
      <c r="J340" s="51">
        <f>Library!K96</f>
        <v>0</v>
      </c>
      <c r="K340" s="51">
        <f>Library!L96</f>
        <v>367824.61699999997</v>
      </c>
    </row>
    <row r="341" spans="1:11" s="33" customFormat="1" x14ac:dyDescent="0.25">
      <c r="A341" s="33" t="s">
        <v>3443</v>
      </c>
      <c r="B341" s="51">
        <f>'City Council'!C47</f>
        <v>14265</v>
      </c>
      <c r="C341" s="51">
        <f>'City Council'!D47</f>
        <v>41139</v>
      </c>
      <c r="D341" s="51">
        <f>'City Council'!E47</f>
        <v>21267</v>
      </c>
      <c r="E341" s="51">
        <f>'City Council'!F47</f>
        <v>25500</v>
      </c>
      <c r="F341" s="51">
        <f>'City Council'!G47</f>
        <v>21590.81</v>
      </c>
      <c r="G341" s="51">
        <f>'City Council'!H47</f>
        <v>28500</v>
      </c>
      <c r="H341" s="51"/>
      <c r="I341" s="51">
        <f>'City Council'!J47</f>
        <v>28500</v>
      </c>
      <c r="J341" s="51">
        <f>'City Council'!K47</f>
        <v>0</v>
      </c>
      <c r="K341" s="51">
        <f>'City Council'!L47</f>
        <v>28500</v>
      </c>
    </row>
    <row r="342" spans="1:11" s="33" customFormat="1" x14ac:dyDescent="0.25">
      <c r="A342" s="33" t="s">
        <v>3444</v>
      </c>
      <c r="B342" s="51">
        <f>'General Fund IT'!C90</f>
        <v>0</v>
      </c>
      <c r="C342" s="51">
        <f>'General Fund IT'!D90</f>
        <v>542462</v>
      </c>
      <c r="D342" s="51">
        <f>'General Fund IT'!E90</f>
        <v>501918</v>
      </c>
      <c r="E342" s="51">
        <f>'General Fund IT'!F90</f>
        <v>766318</v>
      </c>
      <c r="F342" s="51">
        <f>'General Fund IT'!G90</f>
        <v>568236.68999999994</v>
      </c>
      <c r="G342" s="51">
        <f>'General Fund IT'!H90</f>
        <v>621372.56000000006</v>
      </c>
      <c r="H342" s="51"/>
      <c r="I342" s="51">
        <f>'General Fund IT'!J90</f>
        <v>567131.36699999997</v>
      </c>
      <c r="J342" s="51">
        <f>'General Fund IT'!K90</f>
        <v>0</v>
      </c>
      <c r="K342" s="51">
        <f>'General Fund IT'!L90</f>
        <v>567131.36699999997</v>
      </c>
    </row>
    <row r="343" spans="1:11" s="33" customFormat="1" x14ac:dyDescent="0.25">
      <c r="A343" s="33" t="s">
        <v>3445</v>
      </c>
      <c r="B343" s="51">
        <f>'Aviation Fund'!C29</f>
        <v>0</v>
      </c>
      <c r="C343" s="51">
        <f>'Aviation Fund'!D29</f>
        <v>0</v>
      </c>
      <c r="D343" s="51">
        <f>'Aviation Fund'!E29</f>
        <v>0</v>
      </c>
      <c r="E343" s="51">
        <f>'Aviation Fund'!F29</f>
        <v>92299</v>
      </c>
      <c r="F343" s="51">
        <f>'Aviation Fund'!G29</f>
        <v>0</v>
      </c>
      <c r="G343" s="51">
        <f>'Aviation Fund'!H29</f>
        <v>0</v>
      </c>
      <c r="H343" s="51"/>
      <c r="I343" s="51">
        <f>'Aviation Fund'!J29</f>
        <v>50000</v>
      </c>
      <c r="J343" s="51">
        <f>'Aviation Fund'!K29</f>
        <v>0</v>
      </c>
      <c r="K343" s="51">
        <f>'Aviation Fund'!L29</f>
        <v>50000</v>
      </c>
    </row>
    <row r="344" spans="1:11" s="33" customFormat="1" x14ac:dyDescent="0.25">
      <c r="A344" s="33" t="s">
        <v>3446</v>
      </c>
      <c r="B344" s="51">
        <f>'General Fund Transfers'!C15</f>
        <v>407000</v>
      </c>
      <c r="C344" s="51">
        <f>'General Fund Transfers'!D15</f>
        <v>0</v>
      </c>
      <c r="D344" s="51">
        <f>'General Fund Transfers'!E15</f>
        <v>0</v>
      </c>
      <c r="E344" s="51">
        <f>'General Fund Transfers'!F15</f>
        <v>0</v>
      </c>
      <c r="F344" s="51">
        <f>'General Fund Transfers'!G15</f>
        <v>0</v>
      </c>
      <c r="G344" s="51">
        <f>'General Fund Transfers'!H15</f>
        <v>0</v>
      </c>
      <c r="H344" s="51"/>
      <c r="I344" s="51">
        <f>'General Fund Transfers'!J15</f>
        <v>0</v>
      </c>
      <c r="J344" s="51">
        <f>'General Fund Transfers'!K15</f>
        <v>0</v>
      </c>
      <c r="K344" s="51">
        <f>'General Fund Transfers'!L15</f>
        <v>0</v>
      </c>
    </row>
    <row r="345" spans="1:11" s="33" customFormat="1" x14ac:dyDescent="0.25">
      <c r="A345" s="33" t="s">
        <v>3447</v>
      </c>
      <c r="B345" s="51">
        <f>'Golf Course Revenue'!C26</f>
        <v>438694</v>
      </c>
      <c r="C345" s="51">
        <f>'Golf Course Revenue'!D26</f>
        <v>800000</v>
      </c>
      <c r="D345" s="51">
        <f>'Golf Course Revenue'!E26</f>
        <v>800000</v>
      </c>
      <c r="E345" s="51">
        <f>'Golf Course Revenue'!F26</f>
        <v>970519</v>
      </c>
      <c r="F345" s="51">
        <f>'Golf Course Revenue'!G26</f>
        <v>0</v>
      </c>
      <c r="G345" s="51">
        <f>'Golf Course Revenue'!H26</f>
        <v>0</v>
      </c>
      <c r="H345" s="51"/>
      <c r="I345" s="51">
        <f>'Golf Course Revenue'!J26</f>
        <v>250000</v>
      </c>
      <c r="J345" s="51">
        <f>'Golf Course Revenue'!K26</f>
        <v>0</v>
      </c>
      <c r="K345" s="51">
        <f>'Golf Course Revenue'!L26</f>
        <v>250000</v>
      </c>
    </row>
    <row r="346" spans="1:11" s="33" customFormat="1" x14ac:dyDescent="0.25">
      <c r="A346" s="33" t="s">
        <v>3448</v>
      </c>
      <c r="B346" s="51">
        <v>0</v>
      </c>
      <c r="C346" s="51">
        <v>0</v>
      </c>
      <c r="D346" s="51">
        <v>0</v>
      </c>
      <c r="E346" s="51">
        <v>0</v>
      </c>
      <c r="F346" s="51">
        <v>0</v>
      </c>
      <c r="G346" s="51">
        <v>0</v>
      </c>
      <c r="H346" s="51"/>
      <c r="I346" s="51">
        <v>0</v>
      </c>
      <c r="J346" s="51">
        <v>0</v>
      </c>
      <c r="K346" s="51">
        <v>0</v>
      </c>
    </row>
    <row r="347" spans="1:11" s="33" customFormat="1" x14ac:dyDescent="0.25">
      <c r="A347" s="33" t="s">
        <v>3449</v>
      </c>
      <c r="B347" s="51">
        <v>0</v>
      </c>
      <c r="C347" s="51">
        <v>0</v>
      </c>
      <c r="D347" s="51">
        <v>0</v>
      </c>
      <c r="E347" s="51">
        <v>0</v>
      </c>
      <c r="F347" s="51">
        <v>0</v>
      </c>
      <c r="G347" s="51">
        <v>0</v>
      </c>
      <c r="H347" s="51"/>
      <c r="I347" s="51">
        <v>0</v>
      </c>
      <c r="J347" s="51">
        <v>0</v>
      </c>
      <c r="K347" s="52">
        <f>I347+J347</f>
        <v>0</v>
      </c>
    </row>
    <row r="348" spans="1:11" s="33" customFormat="1" x14ac:dyDescent="0.25">
      <c r="A348" s="33" t="s">
        <v>3450</v>
      </c>
      <c r="B348" s="51">
        <v>0</v>
      </c>
      <c r="C348" s="51">
        <v>0</v>
      </c>
      <c r="D348" s="51">
        <v>0</v>
      </c>
      <c r="E348" s="51">
        <v>0</v>
      </c>
      <c r="F348" s="51">
        <v>0</v>
      </c>
      <c r="G348" s="56">
        <v>0</v>
      </c>
      <c r="H348" s="51"/>
      <c r="I348" s="51">
        <v>0</v>
      </c>
      <c r="J348" s="51">
        <v>0</v>
      </c>
      <c r="K348" s="52">
        <f>I348+J348</f>
        <v>0</v>
      </c>
    </row>
    <row r="349" spans="1:11" s="33" customFormat="1" x14ac:dyDescent="0.25">
      <c r="B349" s="51"/>
      <c r="C349" s="51"/>
      <c r="D349" s="51"/>
      <c r="E349" s="51"/>
      <c r="F349" s="51"/>
      <c r="G349" s="51"/>
      <c r="H349" s="51"/>
      <c r="I349" s="48"/>
      <c r="J349" s="48"/>
    </row>
    <row r="350" spans="1:11" s="33" customFormat="1" x14ac:dyDescent="0.25">
      <c r="A350" s="33" t="s">
        <v>3451</v>
      </c>
      <c r="B350" s="51">
        <f>SUM(B322:B348)</f>
        <v>10834697</v>
      </c>
      <c r="C350" s="51">
        <f t="shared" ref="C350:E350" si="38">SUM(C322:C348)</f>
        <v>12138109</v>
      </c>
      <c r="D350" s="51">
        <f t="shared" si="38"/>
        <v>12990329</v>
      </c>
      <c r="E350" s="51">
        <f t="shared" si="38"/>
        <v>15602195</v>
      </c>
      <c r="F350" s="51">
        <f>SUM(F322:F348)</f>
        <v>10026323.790000001</v>
      </c>
      <c r="G350" s="51">
        <f>SUM(G322:G348)</f>
        <v>11207146.299999999</v>
      </c>
      <c r="H350" s="51"/>
      <c r="I350" s="51">
        <f>SUM(I322:I348)</f>
        <v>12106710.269000003</v>
      </c>
      <c r="J350" s="51">
        <f>SUM(J322:J348)</f>
        <v>436602.76</v>
      </c>
      <c r="K350" s="51">
        <f>SUM(K322:K348)</f>
        <v>12497553.029000003</v>
      </c>
    </row>
    <row r="351" spans="1:11" s="33" customFormat="1" x14ac:dyDescent="0.25">
      <c r="B351" s="51"/>
      <c r="C351" s="51"/>
      <c r="D351" s="51"/>
      <c r="E351" s="51"/>
      <c r="F351" s="51"/>
      <c r="G351" s="51"/>
      <c r="H351" s="51"/>
      <c r="I351" s="48"/>
      <c r="J351" s="48"/>
    </row>
    <row r="352" spans="1:11" s="33" customFormat="1" x14ac:dyDescent="0.25">
      <c r="A352" s="33" t="s">
        <v>3452</v>
      </c>
      <c r="B352" s="51">
        <f>B316+B318-B350</f>
        <v>1839342</v>
      </c>
      <c r="C352" s="51">
        <f t="shared" ref="C352:G352" si="39">C316+C318-C350</f>
        <v>2402519</v>
      </c>
      <c r="D352" s="51">
        <f t="shared" si="39"/>
        <v>3545893</v>
      </c>
      <c r="E352" s="51">
        <f t="shared" si="39"/>
        <v>121237</v>
      </c>
      <c r="F352" s="51">
        <f t="shared" si="39"/>
        <v>1998191.5199999996</v>
      </c>
      <c r="G352" s="51">
        <f t="shared" si="39"/>
        <v>3978592.7000000011</v>
      </c>
      <c r="H352" s="51"/>
      <c r="I352" s="51">
        <f>I316+I318-I350</f>
        <v>3380357.7309999969</v>
      </c>
      <c r="J352" s="51">
        <f>J316+J318-J350</f>
        <v>-436602.76</v>
      </c>
      <c r="K352" s="51">
        <f>K316+K318-K350</f>
        <v>2989514.9709999971</v>
      </c>
    </row>
    <row r="353" spans="1:11" s="33" customFormat="1" x14ac:dyDescent="0.25">
      <c r="B353" s="51"/>
      <c r="C353" s="51"/>
      <c r="D353" s="51"/>
      <c r="E353" s="51"/>
      <c r="F353" s="51"/>
      <c r="G353" s="51"/>
      <c r="H353" s="51"/>
      <c r="I353" s="51"/>
      <c r="J353" s="51"/>
    </row>
    <row r="354" spans="1:11" s="33" customFormat="1" x14ac:dyDescent="0.25">
      <c r="A354" s="55" t="s">
        <v>3453</v>
      </c>
      <c r="B354" s="51">
        <v>0</v>
      </c>
      <c r="C354" s="51">
        <v>0</v>
      </c>
      <c r="D354" s="51">
        <v>0</v>
      </c>
      <c r="E354" s="51">
        <v>0</v>
      </c>
      <c r="F354" s="51">
        <v>0</v>
      </c>
      <c r="G354" s="51">
        <v>0</v>
      </c>
      <c r="H354" s="51"/>
      <c r="I354" s="51">
        <v>0</v>
      </c>
      <c r="J354" s="51">
        <v>0</v>
      </c>
      <c r="K354" s="51">
        <v>0</v>
      </c>
    </row>
    <row r="355" spans="1:11" s="33" customFormat="1" x14ac:dyDescent="0.25">
      <c r="B355" s="51"/>
      <c r="C355" s="51"/>
      <c r="D355" s="51"/>
      <c r="E355" s="51"/>
      <c r="F355" s="51"/>
      <c r="G355" s="51"/>
      <c r="H355" s="51"/>
      <c r="I355" s="48"/>
      <c r="J355" s="48"/>
    </row>
    <row r="356" spans="1:11" s="33" customFormat="1" x14ac:dyDescent="0.25">
      <c r="A356" s="33" t="s">
        <v>3454</v>
      </c>
      <c r="B356" s="51">
        <v>0</v>
      </c>
      <c r="C356" s="51">
        <v>0</v>
      </c>
      <c r="D356" s="51">
        <v>0</v>
      </c>
      <c r="E356" s="51">
        <v>0</v>
      </c>
      <c r="F356" s="51">
        <v>0</v>
      </c>
      <c r="G356" s="51">
        <v>0</v>
      </c>
      <c r="H356" s="51"/>
      <c r="I356" s="51">
        <v>0</v>
      </c>
      <c r="J356" s="51">
        <v>0</v>
      </c>
      <c r="K356" s="51">
        <v>0</v>
      </c>
    </row>
    <row r="357" spans="1:11" s="33" customFormat="1" x14ac:dyDescent="0.25">
      <c r="B357" s="51"/>
      <c r="C357" s="51"/>
      <c r="D357" s="51"/>
      <c r="E357" s="51"/>
      <c r="F357" s="51"/>
      <c r="G357" s="51"/>
      <c r="H357" s="51"/>
      <c r="I357" s="51"/>
      <c r="J357" s="51"/>
    </row>
    <row r="358" spans="1:11" s="33" customFormat="1" x14ac:dyDescent="0.25">
      <c r="B358" s="51"/>
      <c r="C358" s="51"/>
      <c r="D358" s="51"/>
      <c r="E358" s="51"/>
      <c r="F358" s="51"/>
      <c r="G358" s="51"/>
      <c r="H358" s="51"/>
      <c r="I358" s="51"/>
      <c r="J358" s="51"/>
    </row>
    <row r="359" spans="1:11" s="33" customFormat="1" x14ac:dyDescent="0.25">
      <c r="A359" s="49" t="s">
        <v>3455</v>
      </c>
      <c r="B359" s="51"/>
      <c r="C359" s="51"/>
      <c r="D359" s="51"/>
      <c r="E359" s="51"/>
      <c r="F359" s="51"/>
      <c r="G359" s="51"/>
      <c r="H359" s="51"/>
      <c r="I359" s="48"/>
      <c r="J359" s="48"/>
    </row>
    <row r="360" spans="1:11" s="33" customFormat="1" x14ac:dyDescent="0.25">
      <c r="A360" s="49"/>
      <c r="B360" s="51"/>
      <c r="C360" s="51"/>
      <c r="D360" s="51"/>
      <c r="E360" s="51"/>
      <c r="F360" s="51"/>
      <c r="G360" s="51"/>
      <c r="H360" s="51"/>
      <c r="I360" s="48"/>
      <c r="J360" s="48"/>
    </row>
    <row r="361" spans="1:11" s="33" customFormat="1" x14ac:dyDescent="0.25">
      <c r="A361" s="33" t="s">
        <v>3420</v>
      </c>
      <c r="B361" s="51">
        <v>0</v>
      </c>
      <c r="C361" s="51">
        <v>0</v>
      </c>
      <c r="D361" s="51">
        <v>0</v>
      </c>
      <c r="E361" s="51">
        <v>0</v>
      </c>
      <c r="F361" s="51">
        <v>0</v>
      </c>
      <c r="G361" s="51">
        <v>0</v>
      </c>
      <c r="H361" s="51"/>
      <c r="I361" s="51">
        <v>0</v>
      </c>
      <c r="J361" s="51">
        <v>0</v>
      </c>
      <c r="K361" s="51">
        <v>0</v>
      </c>
    </row>
    <row r="362" spans="1:11" s="33" customFormat="1" x14ac:dyDescent="0.25">
      <c r="B362" s="51"/>
      <c r="C362" s="51"/>
      <c r="D362" s="51"/>
      <c r="E362" s="51"/>
      <c r="F362" s="51"/>
      <c r="G362" s="51"/>
      <c r="H362" s="51"/>
      <c r="I362" s="48"/>
      <c r="J362" s="48"/>
    </row>
    <row r="363" spans="1:11" s="33" customFormat="1" x14ac:dyDescent="0.25">
      <c r="A363" s="33" t="s">
        <v>3421</v>
      </c>
      <c r="B363" s="51">
        <f>('Aviation Fund'!C34)-B364</f>
        <v>420123</v>
      </c>
      <c r="C363" s="51">
        <f>('Aviation Fund'!D34)-C364</f>
        <v>358297</v>
      </c>
      <c r="D363" s="51">
        <f>('Aviation Fund'!E34)-D364</f>
        <v>343484</v>
      </c>
      <c r="E363" s="51">
        <f>('Aviation Fund'!F34)-E364</f>
        <v>288055</v>
      </c>
      <c r="F363" s="51">
        <f>('Aviation Fund'!G34)-F364</f>
        <v>246484.65999999997</v>
      </c>
      <c r="G363" s="51">
        <f>('Aviation Fund'!H34)-G364</f>
        <v>313710</v>
      </c>
      <c r="H363" s="51">
        <f>('Aviation Fund'!I34)-H364</f>
        <v>0</v>
      </c>
      <c r="I363" s="51">
        <f>('Aviation Fund'!J34)-I364</f>
        <v>293800</v>
      </c>
      <c r="J363" s="51">
        <f>('Aviation Fund'!K34)-J364</f>
        <v>0</v>
      </c>
      <c r="K363" s="51">
        <f>('Aviation Fund'!L34)-K364</f>
        <v>293800</v>
      </c>
    </row>
    <row r="364" spans="1:11" s="33" customFormat="1" x14ac:dyDescent="0.25">
      <c r="A364" s="33" t="s">
        <v>3456</v>
      </c>
      <c r="B364" s="51">
        <f>'Aviation Fund'!C28+'Aviation Fund'!C29</f>
        <v>0</v>
      </c>
      <c r="C364" s="51">
        <f>'Aviation Fund'!D28+'Aviation Fund'!D29</f>
        <v>357424</v>
      </c>
      <c r="D364" s="51">
        <f>'Aviation Fund'!E28+'Aviation Fund'!E29</f>
        <v>0</v>
      </c>
      <c r="E364" s="51">
        <f>'Aviation Fund'!F28+'Aviation Fund'!F29</f>
        <v>92299</v>
      </c>
      <c r="F364" s="51">
        <f>'Aviation Fund'!G28+'Aviation Fund'!G29</f>
        <v>0</v>
      </c>
      <c r="G364" s="51">
        <f>'Aviation Fund'!H28+'Aviation Fund'!H29</f>
        <v>0</v>
      </c>
      <c r="H364" s="51">
        <f>'Aviation Fund'!I28+'Aviation Fund'!I29</f>
        <v>0</v>
      </c>
      <c r="I364" s="51">
        <f>'Aviation Fund'!J28+'Aviation Fund'!J29</f>
        <v>50000</v>
      </c>
      <c r="J364" s="51">
        <f>'Aviation Fund'!K28+'Aviation Fund'!K29</f>
        <v>0</v>
      </c>
      <c r="K364" s="51">
        <f>'Aviation Fund'!L28+'Aviation Fund'!L29</f>
        <v>50000</v>
      </c>
    </row>
    <row r="365" spans="1:11" s="33" customFormat="1" x14ac:dyDescent="0.25">
      <c r="A365" s="33" t="s">
        <v>3457</v>
      </c>
      <c r="B365" s="51">
        <f>'Aviation Fund'!C138</f>
        <v>490805</v>
      </c>
      <c r="C365" s="51">
        <f>'Aviation Fund'!D138</f>
        <v>268959</v>
      </c>
      <c r="D365" s="51">
        <f>'Aviation Fund'!E138</f>
        <v>306113</v>
      </c>
      <c r="E365" s="51">
        <f>'Aviation Fund'!F138</f>
        <v>380357</v>
      </c>
      <c r="F365" s="51">
        <f>'Aviation Fund'!G138</f>
        <v>307936.74</v>
      </c>
      <c r="G365" s="51">
        <f>'Aviation Fund'!H138</f>
        <v>350302</v>
      </c>
      <c r="H365" s="51">
        <f>'Aviation Fund'!I138</f>
        <v>0</v>
      </c>
      <c r="I365" s="51">
        <f>'Aviation Fund'!J138</f>
        <v>323514.07</v>
      </c>
      <c r="J365" s="51">
        <f>'Aviation Fund'!K138</f>
        <v>0</v>
      </c>
      <c r="K365" s="51">
        <f>'Aviation Fund'!L138</f>
        <v>323514.07</v>
      </c>
    </row>
    <row r="366" spans="1:11" s="33" customFormat="1" x14ac:dyDescent="0.25">
      <c r="B366" s="51"/>
      <c r="C366" s="51"/>
      <c r="D366" s="51"/>
      <c r="E366" s="51"/>
      <c r="F366" s="51"/>
      <c r="G366" s="51"/>
      <c r="H366" s="51"/>
      <c r="I366" s="48"/>
      <c r="J366" s="48"/>
    </row>
    <row r="367" spans="1:11" s="33" customFormat="1" x14ac:dyDescent="0.25">
      <c r="A367" s="33" t="s">
        <v>3452</v>
      </c>
      <c r="B367" s="51">
        <f t="shared" ref="B367:G367" si="40">B363+B364-B365</f>
        <v>-70682</v>
      </c>
      <c r="C367" s="51">
        <f t="shared" si="40"/>
        <v>446762</v>
      </c>
      <c r="D367" s="51">
        <f t="shared" si="40"/>
        <v>37371</v>
      </c>
      <c r="E367" s="51">
        <f t="shared" si="40"/>
        <v>-3</v>
      </c>
      <c r="F367" s="51">
        <f t="shared" si="40"/>
        <v>-61452.080000000016</v>
      </c>
      <c r="G367" s="51">
        <f t="shared" si="40"/>
        <v>-36592</v>
      </c>
      <c r="H367" s="51"/>
      <c r="I367" s="51">
        <f>I363+I364-I365</f>
        <v>20285.929999999993</v>
      </c>
      <c r="J367" s="51">
        <f>J363+J364-J365</f>
        <v>0</v>
      </c>
      <c r="K367" s="51">
        <f>K363+K364-K365</f>
        <v>20285.929999999993</v>
      </c>
    </row>
    <row r="368" spans="1:11" s="33" customFormat="1" x14ac:dyDescent="0.25">
      <c r="B368" s="51"/>
      <c r="C368" s="51"/>
      <c r="D368" s="51"/>
      <c r="E368" s="51"/>
      <c r="F368" s="51"/>
      <c r="G368" s="51"/>
      <c r="H368" s="51"/>
      <c r="I368" s="51"/>
      <c r="J368" s="51"/>
    </row>
    <row r="369" spans="1:11" s="33" customFormat="1" x14ac:dyDescent="0.25">
      <c r="A369" s="55" t="s">
        <v>3453</v>
      </c>
      <c r="B369" s="51">
        <v>0</v>
      </c>
      <c r="C369" s="51">
        <v>0</v>
      </c>
      <c r="D369" s="51">
        <v>0</v>
      </c>
      <c r="E369" s="51">
        <v>0</v>
      </c>
      <c r="F369" s="51">
        <v>0</v>
      </c>
      <c r="G369" s="51">
        <v>0</v>
      </c>
      <c r="H369" s="51"/>
      <c r="I369" s="51">
        <v>0</v>
      </c>
      <c r="J369" s="51">
        <v>0</v>
      </c>
      <c r="K369" s="52">
        <f>I369+J369</f>
        <v>0</v>
      </c>
    </row>
    <row r="370" spans="1:11" s="33" customFormat="1" x14ac:dyDescent="0.25">
      <c r="B370" s="51"/>
      <c r="C370" s="51"/>
      <c r="D370" s="51"/>
      <c r="E370" s="51"/>
      <c r="F370" s="51"/>
      <c r="G370" s="51"/>
      <c r="H370" s="51"/>
      <c r="I370" s="48"/>
      <c r="J370" s="48"/>
    </row>
    <row r="371" spans="1:11" s="33" customFormat="1" x14ac:dyDescent="0.25">
      <c r="A371" s="33" t="s">
        <v>3454</v>
      </c>
      <c r="B371" s="51">
        <v>0</v>
      </c>
      <c r="C371" s="51">
        <v>0</v>
      </c>
      <c r="D371" s="51">
        <v>0</v>
      </c>
      <c r="E371" s="51">
        <v>0</v>
      </c>
      <c r="F371" s="51">
        <v>0</v>
      </c>
      <c r="G371" s="51">
        <v>0</v>
      </c>
      <c r="H371" s="51"/>
      <c r="I371" s="51">
        <v>0</v>
      </c>
      <c r="J371" s="51">
        <v>0</v>
      </c>
      <c r="K371" s="52">
        <v>0</v>
      </c>
    </row>
    <row r="372" spans="1:11" s="33" customFormat="1" x14ac:dyDescent="0.25">
      <c r="B372" s="51"/>
      <c r="C372" s="51"/>
      <c r="D372" s="51"/>
      <c r="E372" s="51"/>
      <c r="F372" s="51"/>
      <c r="G372" s="51"/>
      <c r="H372" s="51"/>
      <c r="I372" s="48"/>
      <c r="J372" s="48"/>
    </row>
    <row r="373" spans="1:11" s="33" customFormat="1" x14ac:dyDescent="0.25">
      <c r="B373" s="51"/>
      <c r="C373" s="51"/>
      <c r="D373" s="51"/>
      <c r="E373" s="51"/>
      <c r="F373" s="51"/>
      <c r="G373" s="51"/>
      <c r="H373" s="51"/>
      <c r="I373" s="48"/>
      <c r="J373" s="48"/>
    </row>
    <row r="374" spans="1:11" s="33" customFormat="1" x14ac:dyDescent="0.25">
      <c r="A374" s="49" t="s">
        <v>3458</v>
      </c>
      <c r="B374" s="51"/>
      <c r="C374" s="51"/>
      <c r="D374" s="51"/>
      <c r="E374" s="51"/>
      <c r="F374" s="51"/>
      <c r="G374" s="51"/>
      <c r="H374" s="51"/>
      <c r="I374" s="48"/>
      <c r="J374" s="48"/>
    </row>
    <row r="375" spans="1:11" s="33" customFormat="1" x14ac:dyDescent="0.25">
      <c r="A375" s="49"/>
      <c r="B375" s="51"/>
      <c r="C375" s="51"/>
      <c r="D375" s="51"/>
      <c r="E375" s="51"/>
      <c r="F375" s="51"/>
      <c r="G375" s="51"/>
      <c r="H375" s="51"/>
      <c r="I375" s="48"/>
      <c r="J375" s="48"/>
    </row>
    <row r="376" spans="1:11" s="33" customFormat="1" x14ac:dyDescent="0.25">
      <c r="A376" s="39" t="s">
        <v>3420</v>
      </c>
      <c r="B376" s="51">
        <v>0</v>
      </c>
      <c r="C376" s="51">
        <v>0</v>
      </c>
      <c r="D376" s="51">
        <v>0</v>
      </c>
      <c r="E376" s="51">
        <v>0</v>
      </c>
      <c r="F376" s="51">
        <v>0</v>
      </c>
      <c r="G376" s="48">
        <v>0</v>
      </c>
      <c r="H376" s="51"/>
      <c r="I376" s="51">
        <v>0</v>
      </c>
      <c r="J376" s="51">
        <v>0</v>
      </c>
      <c r="K376" s="52">
        <v>0</v>
      </c>
    </row>
    <row r="377" spans="1:11" s="33" customFormat="1" x14ac:dyDescent="0.25">
      <c r="B377" s="51"/>
      <c r="C377" s="51"/>
      <c r="D377" s="51"/>
      <c r="E377" s="51"/>
      <c r="F377" s="51"/>
      <c r="G377" s="51"/>
      <c r="H377" s="51"/>
      <c r="I377" s="48"/>
      <c r="J377" s="48"/>
    </row>
    <row r="378" spans="1:11" s="33" customFormat="1" x14ac:dyDescent="0.25">
      <c r="A378" s="55" t="s">
        <v>3421</v>
      </c>
      <c r="B378" s="51">
        <f>('Golf Course Revenue'!C32+'Golf Course Revenue'!C45)-B383</f>
        <v>765993</v>
      </c>
      <c r="C378" s="51">
        <f>('Golf Course Revenue'!D32+'Golf Course Revenue'!D45)-C383</f>
        <v>519485</v>
      </c>
      <c r="D378" s="51">
        <f>('Golf Course Revenue'!E32+'Golf Course Revenue'!E45)-D383</f>
        <v>687871</v>
      </c>
      <c r="E378" s="51">
        <f>('Golf Course Revenue'!F32+'Golf Course Revenue'!F45)-E383</f>
        <v>622700</v>
      </c>
      <c r="F378" s="51">
        <f>('Golf Course Revenue'!G32+'Golf Course Revenue'!G45)-F383</f>
        <v>744160.94000000006</v>
      </c>
      <c r="G378" s="51">
        <f>('Golf Course Revenue'!H32+'Golf Course Revenue'!H45)-G383</f>
        <v>889935</v>
      </c>
      <c r="H378" s="51"/>
      <c r="I378" s="51">
        <f>('Golf Course Revenue'!J32+'Golf Course Revenue'!J45)-I383</f>
        <v>935403</v>
      </c>
      <c r="J378" s="51">
        <f>('Golf Course Revenue'!K32+'Golf Course Revenue'!K45)-J383</f>
        <v>0</v>
      </c>
      <c r="K378" s="51">
        <f>('Golf Course Revenue'!L32+'Golf Course Revenue'!L45)-K383</f>
        <v>935403</v>
      </c>
    </row>
    <row r="379" spans="1:11" s="33" customFormat="1" x14ac:dyDescent="0.25">
      <c r="A379" s="55"/>
      <c r="B379" s="51"/>
      <c r="C379" s="51"/>
      <c r="D379" s="51"/>
      <c r="E379" s="51"/>
      <c r="F379" s="51"/>
      <c r="G379" s="51"/>
      <c r="H379" s="51"/>
      <c r="I379" s="48"/>
      <c r="J379" s="48"/>
    </row>
    <row r="380" spans="1:11" s="33" customFormat="1" x14ac:dyDescent="0.25">
      <c r="A380" s="33" t="s">
        <v>3459</v>
      </c>
      <c r="B380" s="51">
        <f t="shared" ref="B380:G380" si="41">B378</f>
        <v>765993</v>
      </c>
      <c r="C380" s="51">
        <f t="shared" si="41"/>
        <v>519485</v>
      </c>
      <c r="D380" s="51">
        <f t="shared" si="41"/>
        <v>687871</v>
      </c>
      <c r="E380" s="51">
        <f t="shared" si="41"/>
        <v>622700</v>
      </c>
      <c r="F380" s="51">
        <f t="shared" si="41"/>
        <v>744160.94000000006</v>
      </c>
      <c r="G380" s="51">
        <f t="shared" si="41"/>
        <v>889935</v>
      </c>
      <c r="H380" s="51"/>
      <c r="I380" s="51">
        <f>I378</f>
        <v>935403</v>
      </c>
      <c r="J380" s="51">
        <f>J378</f>
        <v>0</v>
      </c>
      <c r="K380" s="51">
        <f>K378</f>
        <v>935403</v>
      </c>
    </row>
    <row r="381" spans="1:11" s="33" customFormat="1" x14ac:dyDescent="0.25">
      <c r="A381" s="33" t="s">
        <v>3460</v>
      </c>
      <c r="B381" s="51">
        <v>0</v>
      </c>
      <c r="C381" s="51">
        <v>0</v>
      </c>
      <c r="D381" s="51">
        <v>0</v>
      </c>
      <c r="E381" s="51">
        <v>0</v>
      </c>
      <c r="F381" s="51">
        <v>0</v>
      </c>
      <c r="G381" s="51">
        <v>0</v>
      </c>
      <c r="H381" s="51"/>
      <c r="I381" s="51">
        <v>0</v>
      </c>
      <c r="J381" s="51">
        <v>0</v>
      </c>
      <c r="K381" s="51">
        <f>I381+J381</f>
        <v>0</v>
      </c>
    </row>
    <row r="382" spans="1:11" s="33" customFormat="1" x14ac:dyDescent="0.25">
      <c r="A382" s="55"/>
      <c r="B382" s="51"/>
      <c r="C382" s="51"/>
      <c r="D382" s="51"/>
      <c r="E382" s="51"/>
      <c r="F382" s="51"/>
      <c r="G382" s="51"/>
      <c r="H382" s="51"/>
      <c r="I382" s="48"/>
      <c r="J382" s="48"/>
    </row>
    <row r="383" spans="1:11" s="33" customFormat="1" x14ac:dyDescent="0.25">
      <c r="A383" s="55" t="s">
        <v>3461</v>
      </c>
      <c r="B383" s="51">
        <f>'Golf Course Revenue'!C26</f>
        <v>438694</v>
      </c>
      <c r="C383" s="51">
        <f>'Golf Course Revenue'!D26</f>
        <v>800000</v>
      </c>
      <c r="D383" s="51">
        <f>'Golf Course Revenue'!E26</f>
        <v>800000</v>
      </c>
      <c r="E383" s="51">
        <f>'Golf Course Revenue'!F26</f>
        <v>970519</v>
      </c>
      <c r="F383" s="51">
        <f>'Golf Course Revenue'!G26</f>
        <v>0</v>
      </c>
      <c r="G383" s="51">
        <f>'Golf Course Revenue'!H26</f>
        <v>0</v>
      </c>
      <c r="H383" s="51"/>
      <c r="I383" s="51">
        <f>'Golf Course Revenue'!J26</f>
        <v>250000</v>
      </c>
      <c r="J383" s="51">
        <f>'Golf Course Revenue'!K26</f>
        <v>0</v>
      </c>
      <c r="K383" s="51">
        <f>'Golf Course Revenue'!L26</f>
        <v>250000</v>
      </c>
    </row>
    <row r="384" spans="1:11" s="33" customFormat="1" x14ac:dyDescent="0.25">
      <c r="B384" s="51"/>
      <c r="C384" s="51"/>
      <c r="D384" s="51"/>
      <c r="E384" s="51"/>
      <c r="F384" s="51"/>
      <c r="G384" s="51"/>
      <c r="H384" s="51"/>
      <c r="I384" s="48"/>
      <c r="J384" s="48"/>
    </row>
    <row r="385" spans="1:11" s="33" customFormat="1" x14ac:dyDescent="0.25">
      <c r="A385" s="55" t="s">
        <v>3423</v>
      </c>
      <c r="B385" s="51"/>
      <c r="C385" s="51"/>
      <c r="D385" s="51"/>
      <c r="E385" s="51"/>
      <c r="F385" s="51"/>
      <c r="G385" s="51"/>
      <c r="H385" s="51"/>
      <c r="I385" s="48"/>
      <c r="J385" s="48"/>
    </row>
    <row r="386" spans="1:11" s="33" customFormat="1" x14ac:dyDescent="0.25">
      <c r="B386" s="51"/>
      <c r="C386" s="51"/>
      <c r="D386" s="51"/>
      <c r="E386" s="51"/>
      <c r="F386" s="51"/>
      <c r="G386" s="51"/>
      <c r="H386" s="51"/>
      <c r="I386" s="48"/>
      <c r="J386" s="48"/>
    </row>
    <row r="387" spans="1:11" s="33" customFormat="1" x14ac:dyDescent="0.25">
      <c r="A387" s="33" t="s">
        <v>3462</v>
      </c>
      <c r="B387" s="51">
        <f>'LVGC ProShop'!C117</f>
        <v>415917</v>
      </c>
      <c r="C387" s="51">
        <f>'LVGC ProShop'!D117</f>
        <v>451209</v>
      </c>
      <c r="D387" s="51">
        <f>'LVGC ProShop'!E117</f>
        <v>588166</v>
      </c>
      <c r="E387" s="51">
        <f>'LVGC ProShop'!F117</f>
        <v>679274</v>
      </c>
      <c r="F387" s="51">
        <f>'LVGC ProShop'!G117</f>
        <v>519175.22000000003</v>
      </c>
      <c r="G387" s="51">
        <f>'LVGC ProShop'!H117</f>
        <v>561374</v>
      </c>
      <c r="H387" s="51">
        <f>'LVGC ProShop'!I117</f>
        <v>0</v>
      </c>
      <c r="I387" s="51">
        <f>'LVGC ProShop'!J117</f>
        <v>674743.76399999997</v>
      </c>
      <c r="J387" s="51">
        <f>'LVGC ProShop'!K117</f>
        <v>0</v>
      </c>
      <c r="K387" s="51">
        <f>'LVGC ProShop'!L117</f>
        <v>674743.76399999997</v>
      </c>
    </row>
    <row r="388" spans="1:11" s="33" customFormat="1" x14ac:dyDescent="0.25">
      <c r="A388" s="33" t="s">
        <v>3463</v>
      </c>
      <c r="B388" s="51">
        <f>'LVGC Maintenance'!C108</f>
        <v>405573</v>
      </c>
      <c r="C388" s="51">
        <f>'LVGC Maintenance'!D108</f>
        <v>677356</v>
      </c>
      <c r="D388" s="51">
        <f>'LVGC Maintenance'!E108</f>
        <v>631330</v>
      </c>
      <c r="E388" s="51">
        <f>'LVGC Maintenance'!F108</f>
        <v>913947</v>
      </c>
      <c r="F388" s="51">
        <f>'LVGC Maintenance'!G108</f>
        <v>576512.74</v>
      </c>
      <c r="G388" s="51">
        <f>'LVGC Maintenance'!H108</f>
        <v>663354.27</v>
      </c>
      <c r="H388" s="51">
        <f>'LVGC Maintenance'!I108</f>
        <v>0</v>
      </c>
      <c r="I388" s="51">
        <f>'LVGC Maintenance'!J108</f>
        <v>736011.49799999991</v>
      </c>
      <c r="J388" s="51">
        <f>'LVGC Maintenance'!K108</f>
        <v>75000</v>
      </c>
      <c r="K388" s="51">
        <f>'LVGC Maintenance'!L108</f>
        <v>811011.49799999991</v>
      </c>
    </row>
    <row r="389" spans="1:11" s="33" customFormat="1" x14ac:dyDescent="0.25">
      <c r="A389" s="33" t="s">
        <v>3464</v>
      </c>
      <c r="B389" s="51">
        <v>0</v>
      </c>
      <c r="C389" s="51">
        <v>0</v>
      </c>
      <c r="D389" s="51">
        <v>0</v>
      </c>
      <c r="E389" s="51">
        <v>0</v>
      </c>
      <c r="F389" s="51">
        <v>0</v>
      </c>
      <c r="G389" s="58">
        <v>0</v>
      </c>
      <c r="H389" s="51"/>
      <c r="I389" s="51">
        <v>0</v>
      </c>
      <c r="J389" s="51">
        <v>0</v>
      </c>
      <c r="K389" s="52">
        <f>I389+J389</f>
        <v>0</v>
      </c>
    </row>
    <row r="390" spans="1:11" s="33" customFormat="1" x14ac:dyDescent="0.25">
      <c r="A390" s="33" t="s">
        <v>3465</v>
      </c>
      <c r="B390" s="51">
        <v>0</v>
      </c>
      <c r="C390" s="51">
        <v>0</v>
      </c>
      <c r="D390" s="51">
        <v>0</v>
      </c>
      <c r="E390" s="51">
        <v>0</v>
      </c>
      <c r="F390" s="51">
        <v>0</v>
      </c>
      <c r="G390" s="51">
        <v>0</v>
      </c>
      <c r="H390" s="51"/>
      <c r="I390" s="51">
        <v>0</v>
      </c>
      <c r="J390" s="51">
        <v>0</v>
      </c>
      <c r="K390" s="52">
        <f>I390+J390</f>
        <v>0</v>
      </c>
    </row>
    <row r="391" spans="1:11" s="33" customFormat="1" x14ac:dyDescent="0.25">
      <c r="A391" s="33" t="s">
        <v>3466</v>
      </c>
      <c r="B391" s="51">
        <v>0</v>
      </c>
      <c r="C391" s="51">
        <v>0</v>
      </c>
      <c r="D391" s="51">
        <v>0</v>
      </c>
      <c r="E391" s="51">
        <v>0</v>
      </c>
      <c r="F391" s="51">
        <v>0</v>
      </c>
      <c r="G391" s="51">
        <v>0</v>
      </c>
      <c r="H391" s="51"/>
      <c r="I391" s="51">
        <v>0</v>
      </c>
      <c r="J391" s="51">
        <v>0</v>
      </c>
      <c r="K391" s="52">
        <f>I391+J391</f>
        <v>0</v>
      </c>
    </row>
    <row r="392" spans="1:11" s="33" customFormat="1" x14ac:dyDescent="0.25">
      <c r="B392" s="51"/>
      <c r="C392" s="51"/>
      <c r="D392" s="51"/>
      <c r="E392" s="51"/>
      <c r="F392" s="51"/>
      <c r="G392" s="51"/>
      <c r="H392" s="51"/>
      <c r="I392" s="48"/>
      <c r="J392" s="48"/>
    </row>
    <row r="393" spans="1:11" s="33" customFormat="1" x14ac:dyDescent="0.25">
      <c r="A393" s="33" t="s">
        <v>3467</v>
      </c>
      <c r="B393" s="51">
        <f t="shared" ref="B393:G393" si="42">SUM(B387:B392)</f>
        <v>821490</v>
      </c>
      <c r="C393" s="51">
        <f t="shared" si="42"/>
        <v>1128565</v>
      </c>
      <c r="D393" s="51">
        <f t="shared" si="42"/>
        <v>1219496</v>
      </c>
      <c r="E393" s="51">
        <f t="shared" si="42"/>
        <v>1593221</v>
      </c>
      <c r="F393" s="51">
        <f t="shared" si="42"/>
        <v>1095687.96</v>
      </c>
      <c r="G393" s="51">
        <f t="shared" si="42"/>
        <v>1224728.27</v>
      </c>
      <c r="H393" s="51"/>
      <c r="I393" s="51">
        <f>SUM(I387:I392)</f>
        <v>1410755.2619999999</v>
      </c>
      <c r="J393" s="51">
        <f>SUM(J387:J392)</f>
        <v>75000</v>
      </c>
      <c r="K393" s="51">
        <f>SUM(K387:K392)</f>
        <v>1485755.2619999999</v>
      </c>
    </row>
    <row r="394" spans="1:11" s="33" customFormat="1" x14ac:dyDescent="0.25">
      <c r="B394" s="51"/>
      <c r="C394" s="51"/>
      <c r="D394" s="51"/>
      <c r="E394" s="51"/>
      <c r="F394" s="51"/>
      <c r="G394" s="51"/>
      <c r="H394" s="51"/>
      <c r="I394" s="48"/>
      <c r="J394" s="48"/>
    </row>
    <row r="395" spans="1:11" s="33" customFormat="1" x14ac:dyDescent="0.25">
      <c r="A395" s="33" t="s">
        <v>3452</v>
      </c>
      <c r="B395" s="51">
        <f t="shared" ref="B395:G395" si="43">+B378+B383+B381-B393</f>
        <v>383197</v>
      </c>
      <c r="C395" s="51">
        <f t="shared" si="43"/>
        <v>190920</v>
      </c>
      <c r="D395" s="51">
        <f t="shared" si="43"/>
        <v>268375</v>
      </c>
      <c r="E395" s="51">
        <f t="shared" si="43"/>
        <v>-2</v>
      </c>
      <c r="F395" s="51">
        <f t="shared" si="43"/>
        <v>-351527.0199999999</v>
      </c>
      <c r="G395" s="51">
        <f t="shared" si="43"/>
        <v>-334793.27</v>
      </c>
      <c r="H395" s="51"/>
      <c r="I395" s="51">
        <f>+I378+I383+I381-I393</f>
        <v>-225352.26199999987</v>
      </c>
      <c r="J395" s="51">
        <f>+J378+J383+J381-J393</f>
        <v>-75000</v>
      </c>
      <c r="K395" s="51">
        <f>+K378+K383+K381-K393</f>
        <v>-300352.26199999987</v>
      </c>
    </row>
    <row r="396" spans="1:11" s="33" customFormat="1" x14ac:dyDescent="0.25">
      <c r="B396" s="51"/>
      <c r="C396" s="51"/>
      <c r="D396" s="51"/>
      <c r="E396" s="51"/>
      <c r="F396" s="51"/>
      <c r="G396" s="58"/>
      <c r="H396" s="51"/>
      <c r="I396" s="51"/>
      <c r="J396" s="51"/>
    </row>
    <row r="397" spans="1:11" s="33" customFormat="1" x14ac:dyDescent="0.25">
      <c r="A397" s="55" t="s">
        <v>3453</v>
      </c>
      <c r="B397" s="51">
        <v>0</v>
      </c>
      <c r="C397" s="51">
        <v>0</v>
      </c>
      <c r="D397" s="51">
        <v>0</v>
      </c>
      <c r="E397" s="51">
        <v>0</v>
      </c>
      <c r="F397" s="51">
        <v>0</v>
      </c>
      <c r="G397" s="51">
        <v>0</v>
      </c>
      <c r="H397" s="51"/>
      <c r="I397" s="51">
        <v>0</v>
      </c>
      <c r="J397" s="51">
        <v>0</v>
      </c>
      <c r="K397" s="51">
        <v>0</v>
      </c>
    </row>
    <row r="398" spans="1:11" s="33" customFormat="1" x14ac:dyDescent="0.25">
      <c r="B398" s="51"/>
      <c r="C398" s="51"/>
      <c r="D398" s="51"/>
      <c r="E398" s="51"/>
      <c r="F398" s="51"/>
      <c r="G398" s="51"/>
      <c r="H398" s="51"/>
      <c r="I398" s="48"/>
      <c r="J398" s="48"/>
    </row>
    <row r="399" spans="1:11" s="33" customFormat="1" x14ac:dyDescent="0.25">
      <c r="A399" s="33" t="s">
        <v>3454</v>
      </c>
      <c r="B399" s="51">
        <v>0</v>
      </c>
      <c r="C399" s="51">
        <v>0</v>
      </c>
      <c r="D399" s="51">
        <v>0</v>
      </c>
      <c r="E399" s="51">
        <v>0</v>
      </c>
      <c r="F399" s="51">
        <v>0</v>
      </c>
      <c r="G399" s="51">
        <v>0</v>
      </c>
      <c r="H399" s="51"/>
      <c r="I399" s="51">
        <v>0</v>
      </c>
      <c r="J399" s="51">
        <v>0</v>
      </c>
      <c r="K399" s="51">
        <v>0</v>
      </c>
    </row>
    <row r="400" spans="1:11" s="33" customFormat="1" x14ac:dyDescent="0.25">
      <c r="B400" s="51"/>
      <c r="C400" s="51"/>
      <c r="D400" s="51"/>
      <c r="E400" s="51"/>
      <c r="F400" s="51"/>
      <c r="G400" s="51"/>
      <c r="H400" s="51"/>
      <c r="I400" s="48"/>
      <c r="J400" s="48"/>
    </row>
    <row r="401" spans="1:11" s="33" customFormat="1" x14ac:dyDescent="0.25">
      <c r="B401" s="51"/>
      <c r="C401" s="51"/>
      <c r="D401" s="51"/>
      <c r="E401" s="51"/>
      <c r="F401" s="51"/>
      <c r="G401" s="51"/>
      <c r="H401" s="51"/>
      <c r="I401" s="48"/>
      <c r="J401" s="48"/>
    </row>
    <row r="402" spans="1:11" s="33" customFormat="1" x14ac:dyDescent="0.25">
      <c r="A402" s="49" t="s">
        <v>3468</v>
      </c>
      <c r="B402" s="51"/>
      <c r="C402" s="51"/>
      <c r="D402" s="51"/>
      <c r="E402" s="51"/>
      <c r="F402" s="51"/>
      <c r="G402" s="51"/>
      <c r="H402" s="51"/>
      <c r="I402" s="48"/>
      <c r="J402" s="48"/>
    </row>
    <row r="403" spans="1:11" s="33" customFormat="1" x14ac:dyDescent="0.25">
      <c r="A403" s="49"/>
      <c r="B403" s="51"/>
      <c r="C403" s="51"/>
      <c r="D403" s="51"/>
      <c r="E403" s="51"/>
      <c r="F403" s="51"/>
      <c r="G403" s="51"/>
      <c r="H403" s="51"/>
      <c r="I403" s="48"/>
      <c r="J403" s="48"/>
    </row>
    <row r="404" spans="1:11" s="33" customFormat="1" x14ac:dyDescent="0.25">
      <c r="A404" s="39" t="s">
        <v>3420</v>
      </c>
      <c r="B404" s="51">
        <v>0</v>
      </c>
      <c r="C404" s="51">
        <v>0</v>
      </c>
      <c r="D404" s="51">
        <v>0</v>
      </c>
      <c r="E404" s="51">
        <v>0</v>
      </c>
      <c r="F404" s="51">
        <v>0</v>
      </c>
      <c r="G404" s="51">
        <v>0</v>
      </c>
      <c r="H404" s="51"/>
      <c r="I404" s="51">
        <v>0</v>
      </c>
      <c r="J404" s="51">
        <v>0</v>
      </c>
      <c r="K404" s="51">
        <v>0</v>
      </c>
    </row>
    <row r="405" spans="1:11" s="33" customFormat="1" x14ac:dyDescent="0.25">
      <c r="A405" s="39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1" s="33" customFormat="1" x14ac:dyDescent="0.25">
      <c r="A406" s="55" t="s">
        <v>3421</v>
      </c>
      <c r="B406" s="51">
        <f>'Utility Fund Revenue'!C96</f>
        <v>12993216</v>
      </c>
      <c r="C406" s="51">
        <f>'Utility Fund Revenue'!D96</f>
        <v>10707689</v>
      </c>
      <c r="D406" s="51">
        <f>'Utility Fund Revenue'!E96</f>
        <v>10653770</v>
      </c>
      <c r="E406" s="51">
        <f>'Utility Fund Revenue'!F96-'Utility Fund Revenue'!F92</f>
        <v>12628624</v>
      </c>
      <c r="F406" s="51">
        <f>'Utility Fund Revenue'!G96-'Utility Fund Revenue'!G92</f>
        <v>8507540.0399999991</v>
      </c>
      <c r="G406" s="51">
        <f>'Utility Fund Revenue'!H96-'Utility Fund Revenue'!H92</f>
        <v>9912552</v>
      </c>
      <c r="H406" s="51"/>
      <c r="I406" s="51">
        <f>'Utility Fund Revenue'!J96-'Utility Fund Revenue'!J92</f>
        <v>10338925</v>
      </c>
      <c r="J406" s="51">
        <f>'Utility Fund Revenue'!K96-'Utility Fund Revenue'!K92</f>
        <v>0</v>
      </c>
      <c r="K406" s="51">
        <f>'Utility Fund Revenue'!L96-'Utility Fund Revenue'!L92</f>
        <v>10338925</v>
      </c>
    </row>
    <row r="407" spans="1:11" s="33" customFormat="1" x14ac:dyDescent="0.25">
      <c r="A407" s="39"/>
      <c r="B407" s="51"/>
      <c r="C407" s="51"/>
      <c r="D407" s="51"/>
      <c r="E407" s="51"/>
      <c r="F407" s="51"/>
      <c r="G407" s="58"/>
      <c r="H407" s="51"/>
      <c r="I407" s="48"/>
      <c r="J407" s="48"/>
    </row>
    <row r="408" spans="1:11" s="33" customFormat="1" x14ac:dyDescent="0.25">
      <c r="A408" s="55" t="s">
        <v>3423</v>
      </c>
      <c r="B408" s="51"/>
      <c r="C408" s="51"/>
      <c r="D408" s="51"/>
      <c r="E408" s="51"/>
      <c r="F408" s="51"/>
      <c r="G408" s="51"/>
      <c r="H408" s="51"/>
      <c r="I408" s="48"/>
      <c r="J408" s="48"/>
    </row>
    <row r="409" spans="1:11" s="33" customFormat="1" x14ac:dyDescent="0.25">
      <c r="B409" s="51"/>
      <c r="C409" s="51"/>
      <c r="D409" s="51"/>
      <c r="E409" s="51"/>
      <c r="F409" s="51"/>
      <c r="G409" s="51"/>
      <c r="H409" s="51"/>
      <c r="I409" s="48"/>
      <c r="J409" s="48"/>
    </row>
    <row r="410" spans="1:11" s="33" customFormat="1" x14ac:dyDescent="0.25">
      <c r="A410" s="33" t="s">
        <v>3469</v>
      </c>
      <c r="B410" s="51">
        <f>'Utility Admin'!C104</f>
        <v>227773</v>
      </c>
      <c r="C410" s="51">
        <f>'Utility Admin'!D104</f>
        <v>510380</v>
      </c>
      <c r="D410" s="51">
        <f>'Utility Admin'!E104</f>
        <v>384445</v>
      </c>
      <c r="E410" s="51">
        <f>'Utility Admin'!F104</f>
        <v>467389</v>
      </c>
      <c r="F410" s="51">
        <f>'Utility Admin'!G104</f>
        <v>322875.94</v>
      </c>
      <c r="G410" s="51">
        <f>'Utility Admin'!H104</f>
        <v>446198</v>
      </c>
      <c r="H410" s="51"/>
      <c r="I410" s="51">
        <f>'Utility Admin'!J104</f>
        <v>470215.48600000003</v>
      </c>
      <c r="J410" s="51">
        <f>'Utility Admin'!K104</f>
        <v>0</v>
      </c>
      <c r="K410" s="51">
        <f>'Utility Admin'!L104</f>
        <v>470215.48600000003</v>
      </c>
    </row>
    <row r="411" spans="1:11" s="33" customFormat="1" x14ac:dyDescent="0.25">
      <c r="A411" s="33" t="s">
        <v>3470</v>
      </c>
      <c r="B411" s="51">
        <f>'General Fund Transfer'!C12</f>
        <v>1600000</v>
      </c>
      <c r="C411" s="51">
        <f>'General Fund Transfer'!D12</f>
        <v>2059643</v>
      </c>
      <c r="D411" s="51">
        <f>'General Fund Transfer'!E12</f>
        <v>2059643</v>
      </c>
      <c r="E411" s="51">
        <f>'General Fund Transfer'!F12</f>
        <v>3643573</v>
      </c>
      <c r="F411" s="51">
        <f>'General Fund Transfer'!G12</f>
        <v>1544732.28</v>
      </c>
      <c r="G411" s="51">
        <f>'General Fund Transfer'!H12</f>
        <v>3643573</v>
      </c>
      <c r="H411" s="51"/>
      <c r="I411" s="51">
        <f>'General Fund Transfer'!J12</f>
        <v>3643573</v>
      </c>
      <c r="J411" s="51">
        <f>'General Fund Transfer'!K12</f>
        <v>0</v>
      </c>
      <c r="K411" s="51">
        <f>'General Fund Transfer'!L12</f>
        <v>3643573</v>
      </c>
    </row>
    <row r="412" spans="1:11" s="33" customFormat="1" x14ac:dyDescent="0.25">
      <c r="A412" s="33" t="s">
        <v>3471</v>
      </c>
      <c r="B412" s="51">
        <v>0</v>
      </c>
      <c r="C412" s="51">
        <v>0</v>
      </c>
      <c r="D412" s="51">
        <v>0</v>
      </c>
      <c r="E412" s="51">
        <v>0</v>
      </c>
      <c r="F412" s="51">
        <v>0</v>
      </c>
      <c r="G412" s="51">
        <v>0</v>
      </c>
      <c r="H412" s="51"/>
      <c r="I412" s="51">
        <v>0</v>
      </c>
      <c r="J412" s="51">
        <v>0</v>
      </c>
      <c r="K412" s="51">
        <v>0</v>
      </c>
    </row>
    <row r="413" spans="1:11" s="33" customFormat="1" x14ac:dyDescent="0.25">
      <c r="A413" s="33" t="s">
        <v>3472</v>
      </c>
      <c r="B413" s="51">
        <f>'Utility Fund IT'!C89</f>
        <v>498181</v>
      </c>
      <c r="C413" s="51">
        <f>'Utility Fund IT'!D89</f>
        <v>48119</v>
      </c>
      <c r="D413" s="51">
        <f>'Utility Fund IT'!E89</f>
        <v>39341</v>
      </c>
      <c r="E413" s="51">
        <f>'Utility Fund IT'!F89</f>
        <v>83883</v>
      </c>
      <c r="F413" s="51">
        <f>'Utility Fund IT'!G89</f>
        <v>53134.479999999996</v>
      </c>
      <c r="G413" s="51">
        <f>'Utility Fund IT'!H89</f>
        <v>61248.05</v>
      </c>
      <c r="H413" s="51"/>
      <c r="I413" s="51">
        <f>'Utility Fund IT'!J89</f>
        <v>65292.854999999996</v>
      </c>
      <c r="J413" s="51">
        <f>'Utility Fund IT'!K89</f>
        <v>0</v>
      </c>
      <c r="K413" s="51">
        <f>'Utility Fund IT'!L89</f>
        <v>65292.854999999996</v>
      </c>
    </row>
    <row r="414" spans="1:11" s="33" customFormat="1" x14ac:dyDescent="0.25">
      <c r="A414" s="33" t="s">
        <v>3473</v>
      </c>
      <c r="B414" s="51">
        <f>'Public Works Admin'!C104</f>
        <v>419313</v>
      </c>
      <c r="C414" s="51">
        <f>'Public Works Admin'!D104</f>
        <v>345251</v>
      </c>
      <c r="D414" s="51">
        <f>'Public Works Admin'!E104</f>
        <v>951780</v>
      </c>
      <c r="E414" s="51">
        <f>'Public Works Admin'!F104</f>
        <v>1388620</v>
      </c>
      <c r="F414" s="51">
        <f>'Public Works Admin'!G104</f>
        <v>807813.47</v>
      </c>
      <c r="G414" s="51">
        <f>'Public Works Admin'!H104</f>
        <v>876509.03</v>
      </c>
      <c r="H414" s="51"/>
      <c r="I414" s="51">
        <f>'Public Works Admin'!J104</f>
        <v>971969.21700000006</v>
      </c>
      <c r="J414" s="51">
        <f>'Public Works Admin'!K104</f>
        <v>0</v>
      </c>
      <c r="K414" s="51">
        <f>'Public Works Admin'!L104</f>
        <v>971969.21700000006</v>
      </c>
    </row>
    <row r="415" spans="1:11" s="33" customFormat="1" x14ac:dyDescent="0.25">
      <c r="A415" s="33" t="s">
        <v>3474</v>
      </c>
      <c r="B415" s="51">
        <f>'Water Services'!C114</f>
        <v>1892876</v>
      </c>
      <c r="C415" s="51">
        <f>'Water Services'!D114</f>
        <v>1303099</v>
      </c>
      <c r="D415" s="51">
        <f>'Water Services'!E114</f>
        <v>1876300</v>
      </c>
      <c r="E415" s="51">
        <f>'Water Services'!F114</f>
        <v>1648416</v>
      </c>
      <c r="F415" s="51">
        <f>'Water Services'!G114</f>
        <v>1092576.08</v>
      </c>
      <c r="G415" s="51">
        <f>'Water Services'!H114</f>
        <v>1206722.76</v>
      </c>
      <c r="H415" s="51"/>
      <c r="I415" s="51">
        <f>'Water Services'!J114</f>
        <v>1207131.807</v>
      </c>
      <c r="J415" s="51">
        <f>'Water Services'!K114</f>
        <v>43900</v>
      </c>
      <c r="K415" s="51">
        <f>'Water Services'!L114</f>
        <v>1251031.807</v>
      </c>
    </row>
    <row r="416" spans="1:11" s="33" customFormat="1" x14ac:dyDescent="0.25">
      <c r="A416" s="33" t="s">
        <v>3475</v>
      </c>
      <c r="B416" s="51">
        <f>'Water Plant 1'!C98</f>
        <v>449355</v>
      </c>
      <c r="C416" s="51">
        <f>'Water Plant 1'!D98</f>
        <v>363437</v>
      </c>
      <c r="D416" s="51">
        <f>'Water Plant 1'!E98</f>
        <v>376516</v>
      </c>
      <c r="E416" s="51">
        <f>'Water Plant 1'!F98</f>
        <v>738761</v>
      </c>
      <c r="F416" s="51">
        <f>'Water Plant 1'!G98</f>
        <v>1211900.1199999999</v>
      </c>
      <c r="G416" s="51">
        <f>'Water Plant 1'!H98</f>
        <v>1280094</v>
      </c>
      <c r="H416" s="51"/>
      <c r="I416" s="51">
        <f>'Water Plant 1'!J98</f>
        <v>793443.19200000004</v>
      </c>
      <c r="J416" s="51">
        <f>'Water Plant 1'!K98</f>
        <v>0</v>
      </c>
      <c r="K416" s="51">
        <f>'Water Plant 1'!L98</f>
        <v>793443.19200000004</v>
      </c>
    </row>
    <row r="417" spans="1:11" s="33" customFormat="1" hidden="1" x14ac:dyDescent="0.25">
      <c r="A417" s="33" t="s">
        <v>3476</v>
      </c>
      <c r="B417" s="51">
        <v>0</v>
      </c>
      <c r="C417" s="51">
        <v>0</v>
      </c>
      <c r="D417" s="51">
        <v>0</v>
      </c>
      <c r="E417" s="51">
        <v>0</v>
      </c>
      <c r="F417" s="51">
        <v>0</v>
      </c>
      <c r="G417" s="56"/>
      <c r="H417" s="51"/>
      <c r="I417" s="51">
        <v>0</v>
      </c>
      <c r="J417" s="51">
        <v>0</v>
      </c>
    </row>
    <row r="418" spans="1:11" s="33" customFormat="1" x14ac:dyDescent="0.25">
      <c r="A418" s="33" t="s">
        <v>3477</v>
      </c>
      <c r="B418" s="51">
        <f>'Water Plant 3'!C97</f>
        <v>450176</v>
      </c>
      <c r="C418" s="51">
        <f>'Water Plant 3'!D97</f>
        <v>492229</v>
      </c>
      <c r="D418" s="51">
        <f>'Water Plant 3'!E97</f>
        <v>1129256</v>
      </c>
      <c r="E418" s="51">
        <f>'Water Plant 3'!F97-'Water Plant 3'!F89</f>
        <v>799881</v>
      </c>
      <c r="F418" s="51">
        <f>'Water Plant 3'!G97-'Water Plant 3'!G89</f>
        <v>540076.46</v>
      </c>
      <c r="G418" s="51">
        <f>'Water Plant 3'!H97-'Water Plant 3'!H89</f>
        <v>606710.35</v>
      </c>
      <c r="H418" s="51"/>
      <c r="I418" s="51">
        <f>'Water Plant 3'!J97-'Water Plant 3'!J89</f>
        <v>765175.52600000007</v>
      </c>
      <c r="J418" s="51">
        <f>'Water Plant 3'!K97-'Water Plant 3'!K89</f>
        <v>300000</v>
      </c>
      <c r="K418" s="51">
        <f>'Water Plant 3'!L97-'Water Plant 3'!L89</f>
        <v>1065175.5260000001</v>
      </c>
    </row>
    <row r="419" spans="1:11" s="33" customFormat="1" x14ac:dyDescent="0.25">
      <c r="A419" s="33" t="s">
        <v>3478</v>
      </c>
      <c r="B419" s="51">
        <f>'Sewer Services'!C105</f>
        <v>1040016</v>
      </c>
      <c r="C419" s="51">
        <f>'Sewer Services'!D105</f>
        <v>645934</v>
      </c>
      <c r="D419" s="51">
        <f>'Sewer Services'!E105</f>
        <v>817598</v>
      </c>
      <c r="E419" s="51">
        <f>'Sewer Services'!F105</f>
        <v>1375916</v>
      </c>
      <c r="F419" s="51">
        <f>'Sewer Services'!G105</f>
        <v>731952.62</v>
      </c>
      <c r="G419" s="51">
        <f>'Sewer Services'!H105</f>
        <v>829584</v>
      </c>
      <c r="H419" s="51"/>
      <c r="I419" s="51">
        <f>'Sewer Services'!J105</f>
        <v>1076727.1510000001</v>
      </c>
      <c r="J419" s="51">
        <f>'Sewer Services'!K105</f>
        <v>619600</v>
      </c>
      <c r="K419" s="51">
        <f>'Sewer Services'!L105</f>
        <v>1696327.1510000001</v>
      </c>
    </row>
    <row r="420" spans="1:11" s="33" customFormat="1" x14ac:dyDescent="0.25">
      <c r="A420" s="33" t="s">
        <v>3479</v>
      </c>
      <c r="B420" s="51">
        <f>'Wastewater Treatment Plant'!C96</f>
        <v>422001</v>
      </c>
      <c r="C420" s="51">
        <f>'Wastewater Treatment Plant'!D96</f>
        <v>491751</v>
      </c>
      <c r="D420" s="51">
        <f>'Wastewater Treatment Plant'!E96</f>
        <v>540677</v>
      </c>
      <c r="E420" s="51">
        <f>'Wastewater Treatment Plant'!F96-'Wastewater Treatment Plant'!F88</f>
        <v>772782</v>
      </c>
      <c r="F420" s="51">
        <f>'Wastewater Treatment Plant'!G96-'Wastewater Treatment Plant'!G88</f>
        <v>846916.31</v>
      </c>
      <c r="G420" s="51">
        <f>'Wastewater Treatment Plant'!H96-'Wastewater Treatment Plant'!H88</f>
        <v>920553</v>
      </c>
      <c r="H420" s="51"/>
      <c r="I420" s="51">
        <f>'Wastewater Treatment Plant'!J96-'Wastewater Treatment Plant'!J88</f>
        <v>881794.96600000001</v>
      </c>
      <c r="J420" s="51">
        <f>'Wastewater Treatment Plant'!K96-'Wastewater Treatment Plant'!K88</f>
        <v>300000</v>
      </c>
      <c r="K420" s="51">
        <f>'Wastewater Treatment Plant'!L96-'Wastewater Treatment Plant'!L88</f>
        <v>1181794.966</v>
      </c>
    </row>
    <row r="421" spans="1:11" s="33" customFormat="1" x14ac:dyDescent="0.25">
      <c r="A421" s="33" t="s">
        <v>3480</v>
      </c>
      <c r="B421" s="51">
        <f>'Effluent Disposal'!C97</f>
        <v>279844</v>
      </c>
      <c r="C421" s="51">
        <f>'Effluent Disposal'!D97</f>
        <v>253946</v>
      </c>
      <c r="D421" s="51">
        <f>'Effluent Disposal'!E97</f>
        <v>522873</v>
      </c>
      <c r="E421" s="51">
        <f>'Effluent Disposal'!F97</f>
        <v>3926995</v>
      </c>
      <c r="F421" s="51">
        <f>'Effluent Disposal'!G97</f>
        <v>4687178.68</v>
      </c>
      <c r="G421" s="51">
        <f>'Effluent Disposal'!H97</f>
        <v>4715753</v>
      </c>
      <c r="H421" s="51"/>
      <c r="I421" s="51">
        <f>'Effluent Disposal'!J97</f>
        <v>4530632.5470000003</v>
      </c>
      <c r="J421" s="51">
        <f>'Effluent Disposal'!K97</f>
        <v>0</v>
      </c>
      <c r="K421" s="51">
        <f>'Effluent Disposal'!L97</f>
        <v>4530632.5470000003</v>
      </c>
    </row>
    <row r="422" spans="1:11" s="33" customFormat="1" hidden="1" x14ac:dyDescent="0.25">
      <c r="A422" s="33" t="s">
        <v>3481</v>
      </c>
      <c r="B422" s="51">
        <v>0</v>
      </c>
      <c r="C422" s="51">
        <v>0</v>
      </c>
      <c r="D422" s="51">
        <v>0</v>
      </c>
      <c r="E422" s="51">
        <v>0</v>
      </c>
      <c r="F422" s="51">
        <v>0</v>
      </c>
      <c r="G422" s="56"/>
      <c r="H422" s="51"/>
      <c r="I422" s="51">
        <v>0</v>
      </c>
      <c r="J422" s="51">
        <v>0</v>
      </c>
    </row>
    <row r="423" spans="1:11" s="33" customFormat="1" hidden="1" x14ac:dyDescent="0.25">
      <c r="A423" s="33" t="s">
        <v>3482</v>
      </c>
      <c r="B423" s="51">
        <v>0</v>
      </c>
      <c r="C423" s="51">
        <v>0</v>
      </c>
      <c r="D423" s="51">
        <v>0</v>
      </c>
      <c r="E423" s="51">
        <v>0</v>
      </c>
      <c r="F423" s="51">
        <v>0</v>
      </c>
      <c r="G423" s="56"/>
      <c r="H423" s="51"/>
      <c r="I423" s="51">
        <v>0</v>
      </c>
      <c r="J423" s="51">
        <v>0</v>
      </c>
    </row>
    <row r="424" spans="1:11" s="33" customFormat="1" x14ac:dyDescent="0.25">
      <c r="A424" s="33" t="s">
        <v>3483</v>
      </c>
      <c r="B424" s="51">
        <f>'Booster Pumps'!C92</f>
        <v>109703</v>
      </c>
      <c r="C424" s="51">
        <f>'Booster Pumps'!D92</f>
        <v>74156</v>
      </c>
      <c r="D424" s="51">
        <f>'Booster Pumps'!E92</f>
        <v>99386</v>
      </c>
      <c r="E424" s="51">
        <f>'Booster Pumps'!F92</f>
        <v>240110</v>
      </c>
      <c r="F424" s="51">
        <f>'Booster Pumps'!G92</f>
        <v>95118.6</v>
      </c>
      <c r="G424" s="51">
        <f>'Booster Pumps'!H92</f>
        <v>115795</v>
      </c>
      <c r="H424" s="51"/>
      <c r="I424" s="51">
        <f>'Booster Pumps'!J92</f>
        <v>404125.91200000001</v>
      </c>
      <c r="J424" s="51">
        <f>'Booster Pumps'!K92</f>
        <v>0</v>
      </c>
      <c r="K424" s="51">
        <f>'Booster Pumps'!L92</f>
        <v>254125.91200000001</v>
      </c>
    </row>
    <row r="425" spans="1:11" s="33" customFormat="1" x14ac:dyDescent="0.25">
      <c r="A425" s="33" t="s">
        <v>3484</v>
      </c>
      <c r="B425" s="51">
        <f>'Lift Stations'!C89</f>
        <v>317491</v>
      </c>
      <c r="C425" s="51">
        <f>'Lift Stations'!D89</f>
        <v>238132</v>
      </c>
      <c r="D425" s="51">
        <f>'Lift Stations'!E89</f>
        <v>467540</v>
      </c>
      <c r="E425" s="51">
        <f>'Lift Stations'!F89</f>
        <v>1242540</v>
      </c>
      <c r="F425" s="51">
        <f>'Lift Stations'!G89</f>
        <v>328799.03000000003</v>
      </c>
      <c r="G425" s="51">
        <f>'Lift Stations'!H89</f>
        <v>341810</v>
      </c>
      <c r="H425" s="51"/>
      <c r="I425" s="51">
        <f>'Lift Stations'!J89</f>
        <v>314135.40399999998</v>
      </c>
      <c r="J425" s="51">
        <f>'Lift Stations'!K89</f>
        <v>0</v>
      </c>
      <c r="K425" s="51">
        <f>'Lift Stations'!L89</f>
        <v>314135.40399999998</v>
      </c>
    </row>
    <row r="426" spans="1:11" s="33" customFormat="1" hidden="1" x14ac:dyDescent="0.25">
      <c r="A426" s="33" t="s">
        <v>3485</v>
      </c>
      <c r="B426" s="51">
        <v>0</v>
      </c>
      <c r="C426" s="51">
        <v>0</v>
      </c>
      <c r="D426" s="51">
        <v>0</v>
      </c>
      <c r="E426" s="51">
        <v>0</v>
      </c>
      <c r="F426" s="51">
        <v>0</v>
      </c>
      <c r="G426" s="51"/>
      <c r="H426" s="51"/>
      <c r="I426" s="51">
        <v>0</v>
      </c>
      <c r="J426" s="51">
        <v>0</v>
      </c>
    </row>
    <row r="427" spans="1:11" s="33" customFormat="1" x14ac:dyDescent="0.25">
      <c r="A427" s="33" t="s">
        <v>3446</v>
      </c>
      <c r="B427" s="51">
        <v>0</v>
      </c>
      <c r="C427" s="51">
        <v>0</v>
      </c>
      <c r="D427" s="51">
        <v>0</v>
      </c>
      <c r="E427" s="51">
        <v>0</v>
      </c>
      <c r="F427" s="51">
        <v>0</v>
      </c>
      <c r="G427" s="51">
        <v>0</v>
      </c>
      <c r="H427" s="51"/>
      <c r="I427" s="51">
        <v>0</v>
      </c>
      <c r="J427" s="51">
        <v>0</v>
      </c>
      <c r="K427" s="52">
        <f>I427+J427</f>
        <v>0</v>
      </c>
    </row>
    <row r="428" spans="1:11" s="33" customFormat="1" x14ac:dyDescent="0.25">
      <c r="A428" s="33" t="s">
        <v>3486</v>
      </c>
      <c r="B428" s="51">
        <v>0</v>
      </c>
      <c r="C428" s="51">
        <v>0</v>
      </c>
      <c r="D428" s="51">
        <v>0</v>
      </c>
      <c r="E428" s="51">
        <v>0</v>
      </c>
      <c r="F428" s="51">
        <v>0</v>
      </c>
      <c r="G428" s="51">
        <v>0</v>
      </c>
      <c r="H428" s="51"/>
      <c r="I428" s="51">
        <v>0</v>
      </c>
      <c r="J428" s="51">
        <v>0</v>
      </c>
      <c r="K428" s="52">
        <f>I428+J428</f>
        <v>0</v>
      </c>
    </row>
    <row r="429" spans="1:11" s="33" customFormat="1" x14ac:dyDescent="0.25">
      <c r="A429" s="33" t="s">
        <v>3449</v>
      </c>
      <c r="B429" s="51">
        <v>0</v>
      </c>
      <c r="C429" s="51">
        <v>0</v>
      </c>
      <c r="D429" s="51">
        <v>0</v>
      </c>
      <c r="E429" s="51">
        <v>0</v>
      </c>
      <c r="F429" s="51">
        <v>0</v>
      </c>
      <c r="G429" s="51">
        <v>0</v>
      </c>
      <c r="H429" s="51"/>
      <c r="I429" s="51">
        <v>0</v>
      </c>
      <c r="J429" s="51">
        <v>0</v>
      </c>
      <c r="K429" s="52">
        <f>I429+J429</f>
        <v>0</v>
      </c>
    </row>
    <row r="430" spans="1:11" s="33" customFormat="1" x14ac:dyDescent="0.25">
      <c r="A430" s="33" t="s">
        <v>3487</v>
      </c>
      <c r="B430" s="51">
        <v>0</v>
      </c>
      <c r="C430" s="51">
        <v>0</v>
      </c>
      <c r="D430" s="51">
        <v>0</v>
      </c>
      <c r="E430" s="51">
        <v>0</v>
      </c>
      <c r="F430" s="51">
        <v>0</v>
      </c>
      <c r="G430" s="51">
        <v>0</v>
      </c>
      <c r="H430" s="51"/>
      <c r="I430" s="51">
        <v>0</v>
      </c>
      <c r="J430" s="51">
        <v>0</v>
      </c>
      <c r="K430" s="52">
        <f>I430+J430</f>
        <v>0</v>
      </c>
    </row>
    <row r="431" spans="1:11" s="33" customFormat="1" x14ac:dyDescent="0.25">
      <c r="B431" s="51"/>
      <c r="C431" s="51"/>
      <c r="D431" s="51"/>
      <c r="E431" s="51"/>
      <c r="F431" s="51"/>
      <c r="G431" s="51"/>
      <c r="H431" s="51"/>
      <c r="I431" s="48"/>
      <c r="J431" s="48"/>
    </row>
    <row r="432" spans="1:11" s="33" customFormat="1" x14ac:dyDescent="0.25">
      <c r="A432" s="33" t="s">
        <v>3488</v>
      </c>
      <c r="B432" s="51">
        <f t="shared" ref="B432:G432" si="44">SUM(B410:B430)</f>
        <v>7706729</v>
      </c>
      <c r="C432" s="51">
        <f t="shared" si="44"/>
        <v>6826077</v>
      </c>
      <c r="D432" s="51">
        <f t="shared" si="44"/>
        <v>9265355</v>
      </c>
      <c r="E432" s="51">
        <f t="shared" si="44"/>
        <v>16328866</v>
      </c>
      <c r="F432" s="51">
        <f t="shared" si="44"/>
        <v>12263074.069999998</v>
      </c>
      <c r="G432" s="51">
        <f t="shared" si="44"/>
        <v>15044550.189999999</v>
      </c>
      <c r="H432" s="51"/>
      <c r="I432" s="51">
        <f>SUM(I410:I430)</f>
        <v>15124217.063000001</v>
      </c>
      <c r="J432" s="51">
        <f>SUM(J410:J430)</f>
        <v>1263500</v>
      </c>
      <c r="K432" s="51">
        <f>SUM(K410:K430)</f>
        <v>16237717.063000001</v>
      </c>
    </row>
    <row r="433" spans="1:11" s="33" customFormat="1" x14ac:dyDescent="0.25">
      <c r="B433" s="51"/>
      <c r="C433" s="51"/>
      <c r="D433" s="51"/>
      <c r="E433" s="51"/>
      <c r="F433" s="51"/>
      <c r="G433" s="51"/>
      <c r="H433" s="51"/>
      <c r="I433" s="48"/>
      <c r="J433" s="48"/>
    </row>
    <row r="434" spans="1:11" s="33" customFormat="1" x14ac:dyDescent="0.25">
      <c r="A434" s="33" t="s">
        <v>3452</v>
      </c>
      <c r="B434" s="51">
        <f>B406-B432</f>
        <v>5286487</v>
      </c>
      <c r="C434" s="51">
        <f t="shared" ref="C434:E434" si="45">C406-C432</f>
        <v>3881612</v>
      </c>
      <c r="D434" s="51">
        <f t="shared" si="45"/>
        <v>1388415</v>
      </c>
      <c r="E434" s="51">
        <f t="shared" si="45"/>
        <v>-3700242</v>
      </c>
      <c r="F434" s="51">
        <f>F406-F432</f>
        <v>-3755534.0299999993</v>
      </c>
      <c r="G434" s="51">
        <f>G406-G432</f>
        <v>-5131998.1899999995</v>
      </c>
      <c r="H434" s="51"/>
      <c r="I434" s="51">
        <f>I406-I432</f>
        <v>-4785292.063000001</v>
      </c>
      <c r="J434" s="51">
        <f>J406-J432</f>
        <v>-1263500</v>
      </c>
      <c r="K434" s="51">
        <f>K406-K432</f>
        <v>-5898792.063000001</v>
      </c>
    </row>
    <row r="435" spans="1:11" s="33" customFormat="1" x14ac:dyDescent="0.25">
      <c r="B435" s="51"/>
      <c r="C435" s="51"/>
      <c r="D435" s="51"/>
      <c r="E435" s="51"/>
      <c r="F435" s="51"/>
      <c r="G435" s="58"/>
      <c r="H435" s="51"/>
      <c r="I435" s="51"/>
      <c r="J435" s="51"/>
    </row>
    <row r="436" spans="1:11" s="33" customFormat="1" x14ac:dyDescent="0.25">
      <c r="A436" s="55" t="s">
        <v>3453</v>
      </c>
      <c r="B436" s="51">
        <v>0</v>
      </c>
      <c r="C436" s="51">
        <v>0</v>
      </c>
      <c r="D436" s="51">
        <v>0</v>
      </c>
      <c r="E436" s="51">
        <v>0</v>
      </c>
      <c r="F436" s="51">
        <v>0</v>
      </c>
      <c r="G436" s="51">
        <v>0</v>
      </c>
      <c r="H436" s="51"/>
      <c r="I436" s="51">
        <v>0</v>
      </c>
      <c r="J436" s="51">
        <v>0</v>
      </c>
      <c r="K436" s="51">
        <v>0</v>
      </c>
    </row>
    <row r="437" spans="1:11" s="33" customFormat="1" x14ac:dyDescent="0.25">
      <c r="B437" s="51"/>
      <c r="C437" s="51"/>
      <c r="D437" s="51"/>
      <c r="E437" s="51"/>
      <c r="F437" s="51"/>
      <c r="G437" s="51"/>
      <c r="H437" s="51"/>
      <c r="I437" s="48"/>
      <c r="J437" s="48"/>
    </row>
    <row r="438" spans="1:11" s="33" customFormat="1" x14ac:dyDescent="0.25">
      <c r="A438" s="33" t="s">
        <v>3454</v>
      </c>
      <c r="B438" s="51">
        <v>0</v>
      </c>
      <c r="C438" s="51">
        <v>0</v>
      </c>
      <c r="D438" s="51">
        <v>0</v>
      </c>
      <c r="E438" s="51">
        <v>0</v>
      </c>
      <c r="F438" s="51">
        <v>0</v>
      </c>
      <c r="G438" s="51">
        <v>0</v>
      </c>
      <c r="H438" s="51"/>
      <c r="I438" s="51">
        <v>0</v>
      </c>
      <c r="J438" s="51">
        <v>0</v>
      </c>
      <c r="K438" s="51">
        <v>0</v>
      </c>
    </row>
    <row r="439" spans="1:11" s="33" customFormat="1" x14ac:dyDescent="0.25">
      <c r="B439" s="51"/>
      <c r="C439" s="51"/>
      <c r="D439" s="51"/>
      <c r="E439" s="51"/>
      <c r="F439" s="51"/>
      <c r="G439" s="51"/>
      <c r="H439" s="51"/>
      <c r="I439" s="48"/>
      <c r="J439" s="48"/>
    </row>
    <row r="440" spans="1:11" s="33" customFormat="1" x14ac:dyDescent="0.25">
      <c r="B440" s="51"/>
      <c r="C440" s="51"/>
      <c r="D440" s="51"/>
      <c r="E440" s="51"/>
      <c r="F440" s="51"/>
      <c r="G440" s="51"/>
      <c r="H440" s="51"/>
      <c r="I440" s="48"/>
      <c r="J440" s="48"/>
    </row>
    <row r="441" spans="1:11" s="33" customFormat="1" x14ac:dyDescent="0.25">
      <c r="A441" s="33" t="s">
        <v>3489</v>
      </c>
      <c r="G441" s="59"/>
      <c r="I441" s="48"/>
      <c r="J441" s="48"/>
    </row>
    <row r="442" spans="1:11" s="33" customFormat="1" x14ac:dyDescent="0.25">
      <c r="A442" s="33" t="s">
        <v>3490</v>
      </c>
      <c r="B442" s="59">
        <f>+B316+B318</f>
        <v>12674039</v>
      </c>
      <c r="C442" s="59">
        <f t="shared" ref="C442:G442" si="46">+C316+C318</f>
        <v>14540628</v>
      </c>
      <c r="D442" s="59">
        <f t="shared" si="46"/>
        <v>16536222</v>
      </c>
      <c r="E442" s="59">
        <f t="shared" si="46"/>
        <v>15723432</v>
      </c>
      <c r="F442" s="59">
        <f t="shared" si="46"/>
        <v>12024515.310000001</v>
      </c>
      <c r="G442" s="59">
        <f t="shared" si="46"/>
        <v>15185739</v>
      </c>
      <c r="H442" s="59"/>
      <c r="I442" s="59">
        <f>+I316+I318</f>
        <v>15487068</v>
      </c>
      <c r="J442" s="59">
        <f>+J316+J318</f>
        <v>0</v>
      </c>
      <c r="K442" s="59">
        <f>+K316+K318</f>
        <v>15487068</v>
      </c>
    </row>
    <row r="443" spans="1:11" s="33" customFormat="1" x14ac:dyDescent="0.25">
      <c r="A443" s="33" t="s">
        <v>3491</v>
      </c>
      <c r="B443" s="59">
        <f t="shared" ref="B443:G443" si="47">B363+B364</f>
        <v>420123</v>
      </c>
      <c r="C443" s="59">
        <f t="shared" si="47"/>
        <v>715721</v>
      </c>
      <c r="D443" s="59">
        <f t="shared" si="47"/>
        <v>343484</v>
      </c>
      <c r="E443" s="59">
        <f t="shared" si="47"/>
        <v>380354</v>
      </c>
      <c r="F443" s="59">
        <f t="shared" si="47"/>
        <v>246484.65999999997</v>
      </c>
      <c r="G443" s="59">
        <f t="shared" si="47"/>
        <v>313710</v>
      </c>
      <c r="H443" s="59"/>
      <c r="I443" s="59">
        <f>I363+I364</f>
        <v>343800</v>
      </c>
      <c r="J443" s="59">
        <f>J363+J364</f>
        <v>0</v>
      </c>
      <c r="K443" s="59">
        <f>K363+K364</f>
        <v>343800</v>
      </c>
    </row>
    <row r="444" spans="1:11" s="33" customFormat="1" x14ac:dyDescent="0.25">
      <c r="A444" s="33" t="s">
        <v>3492</v>
      </c>
      <c r="B444" s="59">
        <f t="shared" ref="B444:G444" si="48">+B378+B383</f>
        <v>1204687</v>
      </c>
      <c r="C444" s="59">
        <f t="shared" si="48"/>
        <v>1319485</v>
      </c>
      <c r="D444" s="59">
        <f t="shared" si="48"/>
        <v>1487871</v>
      </c>
      <c r="E444" s="59">
        <f t="shared" si="48"/>
        <v>1593219</v>
      </c>
      <c r="F444" s="59">
        <f t="shared" si="48"/>
        <v>744160.94000000006</v>
      </c>
      <c r="G444" s="59">
        <f t="shared" si="48"/>
        <v>889935</v>
      </c>
      <c r="H444" s="59"/>
      <c r="I444" s="59">
        <f>+I378+I383</f>
        <v>1185403</v>
      </c>
      <c r="J444" s="59">
        <f>+J378+J383</f>
        <v>0</v>
      </c>
      <c r="K444" s="59">
        <f>+K378+K383</f>
        <v>1185403</v>
      </c>
    </row>
    <row r="445" spans="1:11" s="33" customFormat="1" x14ac:dyDescent="0.25">
      <c r="A445" s="33" t="s">
        <v>3493</v>
      </c>
      <c r="B445" s="59">
        <f>+B406</f>
        <v>12993216</v>
      </c>
      <c r="C445" s="59">
        <f t="shared" ref="C445:G445" si="49">+C406</f>
        <v>10707689</v>
      </c>
      <c r="D445" s="59">
        <f t="shared" si="49"/>
        <v>10653770</v>
      </c>
      <c r="E445" s="59">
        <f t="shared" si="49"/>
        <v>12628624</v>
      </c>
      <c r="F445" s="59">
        <f t="shared" si="49"/>
        <v>8507540.0399999991</v>
      </c>
      <c r="G445" s="59">
        <f t="shared" si="49"/>
        <v>9912552</v>
      </c>
      <c r="H445" s="59"/>
      <c r="I445" s="59">
        <f t="shared" ref="I445:K445" si="50">+I406</f>
        <v>10338925</v>
      </c>
      <c r="J445" s="59">
        <f t="shared" si="50"/>
        <v>0</v>
      </c>
      <c r="K445" s="59">
        <f t="shared" si="50"/>
        <v>10338925</v>
      </c>
    </row>
    <row r="446" spans="1:11" s="33" customFormat="1" x14ac:dyDescent="0.25">
      <c r="A446" s="33" t="s">
        <v>109</v>
      </c>
      <c r="B446" s="59">
        <f t="shared" ref="B446:G446" si="51">SUM(B442:B445)</f>
        <v>27292065</v>
      </c>
      <c r="C446" s="59">
        <f t="shared" si="51"/>
        <v>27283523</v>
      </c>
      <c r="D446" s="59">
        <f t="shared" si="51"/>
        <v>29021347</v>
      </c>
      <c r="E446" s="59">
        <f t="shared" si="51"/>
        <v>30325629</v>
      </c>
      <c r="F446" s="59">
        <f t="shared" si="51"/>
        <v>21522700.949999999</v>
      </c>
      <c r="G446" s="59">
        <f t="shared" si="51"/>
        <v>26301936</v>
      </c>
      <c r="H446" s="59"/>
      <c r="I446" s="59">
        <f>SUM(I442:I445)</f>
        <v>27355196</v>
      </c>
      <c r="J446" s="59">
        <f>SUM(J442:J445)</f>
        <v>0</v>
      </c>
      <c r="K446" s="59">
        <f>SUM(K442:K445)</f>
        <v>27355196</v>
      </c>
    </row>
    <row r="447" spans="1:11" s="33" customFormat="1" x14ac:dyDescent="0.25">
      <c r="G447" s="59"/>
      <c r="I447" s="48"/>
      <c r="J447" s="48"/>
    </row>
    <row r="448" spans="1:11" s="33" customFormat="1" x14ac:dyDescent="0.25">
      <c r="A448" s="33" t="s">
        <v>3494</v>
      </c>
      <c r="G448" s="59"/>
      <c r="I448" s="48"/>
      <c r="J448" s="48"/>
    </row>
    <row r="449" spans="1:11" s="33" customFormat="1" x14ac:dyDescent="0.25">
      <c r="A449" s="33" t="s">
        <v>3490</v>
      </c>
      <c r="B449" s="59">
        <f t="shared" ref="B449:G449" si="52">+B350</f>
        <v>10834697</v>
      </c>
      <c r="C449" s="59">
        <f t="shared" si="52"/>
        <v>12138109</v>
      </c>
      <c r="D449" s="59">
        <f t="shared" si="52"/>
        <v>12990329</v>
      </c>
      <c r="E449" s="59">
        <f t="shared" si="52"/>
        <v>15602195</v>
      </c>
      <c r="F449" s="59">
        <f t="shared" si="52"/>
        <v>10026323.790000001</v>
      </c>
      <c r="G449" s="59">
        <f t="shared" si="52"/>
        <v>11207146.299999999</v>
      </c>
      <c r="H449" s="59"/>
      <c r="I449" s="59">
        <f>+I350</f>
        <v>12106710.269000003</v>
      </c>
      <c r="J449" s="59">
        <f>+J350</f>
        <v>436602.76</v>
      </c>
      <c r="K449" s="59">
        <f>+K350</f>
        <v>12497553.029000003</v>
      </c>
    </row>
    <row r="450" spans="1:11" s="33" customFormat="1" x14ac:dyDescent="0.25">
      <c r="A450" s="33" t="s">
        <v>3491</v>
      </c>
      <c r="B450" s="59">
        <f t="shared" ref="B450:G450" si="53">B365</f>
        <v>490805</v>
      </c>
      <c r="C450" s="59">
        <f t="shared" si="53"/>
        <v>268959</v>
      </c>
      <c r="D450" s="59">
        <f t="shared" si="53"/>
        <v>306113</v>
      </c>
      <c r="E450" s="59">
        <f t="shared" si="53"/>
        <v>380357</v>
      </c>
      <c r="F450" s="59">
        <f t="shared" si="53"/>
        <v>307936.74</v>
      </c>
      <c r="G450" s="59">
        <f t="shared" si="53"/>
        <v>350302</v>
      </c>
      <c r="H450" s="59"/>
      <c r="I450" s="59">
        <f>I365</f>
        <v>323514.07</v>
      </c>
      <c r="J450" s="59">
        <f>J365</f>
        <v>0</v>
      </c>
      <c r="K450" s="59">
        <f>K365</f>
        <v>323514.07</v>
      </c>
    </row>
    <row r="451" spans="1:11" s="33" customFormat="1" x14ac:dyDescent="0.25">
      <c r="A451" s="33" t="s">
        <v>3492</v>
      </c>
      <c r="B451" s="59">
        <f t="shared" ref="B451:G451" si="54">+B393</f>
        <v>821490</v>
      </c>
      <c r="C451" s="59">
        <f t="shared" si="54"/>
        <v>1128565</v>
      </c>
      <c r="D451" s="59">
        <f t="shared" si="54"/>
        <v>1219496</v>
      </c>
      <c r="E451" s="59">
        <f t="shared" si="54"/>
        <v>1593221</v>
      </c>
      <c r="F451" s="59">
        <f t="shared" si="54"/>
        <v>1095687.96</v>
      </c>
      <c r="G451" s="59">
        <f t="shared" si="54"/>
        <v>1224728.27</v>
      </c>
      <c r="H451" s="59"/>
      <c r="I451" s="59">
        <f>+I393</f>
        <v>1410755.2619999999</v>
      </c>
      <c r="J451" s="59">
        <f>+J393</f>
        <v>75000</v>
      </c>
      <c r="K451" s="59">
        <f>+K393</f>
        <v>1485755.2619999999</v>
      </c>
    </row>
    <row r="452" spans="1:11" s="33" customFormat="1" x14ac:dyDescent="0.25">
      <c r="A452" s="33" t="s">
        <v>3493</v>
      </c>
      <c r="B452" s="59">
        <f t="shared" ref="B452:G452" si="55">+B432</f>
        <v>7706729</v>
      </c>
      <c r="C452" s="59">
        <f t="shared" si="55"/>
        <v>6826077</v>
      </c>
      <c r="D452" s="59">
        <f t="shared" si="55"/>
        <v>9265355</v>
      </c>
      <c r="E452" s="59">
        <f t="shared" si="55"/>
        <v>16328866</v>
      </c>
      <c r="F452" s="59">
        <f t="shared" si="55"/>
        <v>12263074.069999998</v>
      </c>
      <c r="G452" s="59">
        <f t="shared" si="55"/>
        <v>15044550.189999999</v>
      </c>
      <c r="H452" s="59"/>
      <c r="I452" s="59">
        <f>+I432</f>
        <v>15124217.063000001</v>
      </c>
      <c r="J452" s="59">
        <f>+J432</f>
        <v>1263500</v>
      </c>
      <c r="K452" s="59">
        <f>+K432</f>
        <v>16237717.063000001</v>
      </c>
    </row>
    <row r="453" spans="1:11" s="33" customFormat="1" x14ac:dyDescent="0.25">
      <c r="A453" s="33" t="s">
        <v>109</v>
      </c>
      <c r="B453" s="59">
        <f t="shared" ref="B453:G453" si="56">SUM(B449:B452)</f>
        <v>19853721</v>
      </c>
      <c r="C453" s="59">
        <f t="shared" si="56"/>
        <v>20361710</v>
      </c>
      <c r="D453" s="59">
        <f t="shared" si="56"/>
        <v>23781293</v>
      </c>
      <c r="E453" s="59">
        <f t="shared" si="56"/>
        <v>33904639</v>
      </c>
      <c r="F453" s="59">
        <f t="shared" si="56"/>
        <v>23693022.560000002</v>
      </c>
      <c r="G453" s="59">
        <f t="shared" si="56"/>
        <v>27826726.759999998</v>
      </c>
      <c r="H453" s="59"/>
      <c r="I453" s="59">
        <f>SUM(I449:I452)</f>
        <v>28965196.664000005</v>
      </c>
      <c r="J453" s="59">
        <f>SUM(J449:J452)</f>
        <v>1775102.76</v>
      </c>
      <c r="K453" s="59">
        <f>SUM(K449:K452)</f>
        <v>30544539.424000002</v>
      </c>
    </row>
    <row r="454" spans="1:11" s="33" customFormat="1" x14ac:dyDescent="0.25">
      <c r="I454" s="48"/>
      <c r="J454" s="48"/>
    </row>
    <row r="455" spans="1:11" s="33" customFormat="1" x14ac:dyDescent="0.25">
      <c r="A455" s="33" t="s">
        <v>3495</v>
      </c>
      <c r="B455" s="59">
        <f>+B446-B453</f>
        <v>7438344</v>
      </c>
      <c r="C455" s="59">
        <f>+C446-C453</f>
        <v>6921813</v>
      </c>
      <c r="D455" s="59">
        <f t="shared" ref="D455:G455" si="57">+D446-D453</f>
        <v>5240054</v>
      </c>
      <c r="E455" s="59">
        <f t="shared" si="57"/>
        <v>-3579010</v>
      </c>
      <c r="F455" s="59">
        <f t="shared" si="57"/>
        <v>-2170321.6100000031</v>
      </c>
      <c r="G455" s="59">
        <f t="shared" si="57"/>
        <v>-1524790.7599999979</v>
      </c>
      <c r="H455" s="59"/>
      <c r="I455" s="59">
        <f>+I446-I453</f>
        <v>-1610000.6640000045</v>
      </c>
      <c r="J455" s="59">
        <f>+J446-J453</f>
        <v>-1775102.76</v>
      </c>
      <c r="K455" s="59">
        <f>+K446-K453</f>
        <v>-3189343.4240000024</v>
      </c>
    </row>
  </sheetData>
  <sheetProtection algorithmName="SHA-512" hashValue="pR26GSSievqYBM9Wm8fMtbzyVJhy1ciHz+u1U63gdVG08ED4s4VQmcDEm23vEXYvsVYmHXyymUIe1sLNCDCPRg==" saltValue="hfItFMrDTBvxEjQH/93Oyg==" spinCount="100000" sheet="1" objects="1" scenarios="1"/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2835-4850-4BF9-838C-85B8DE49BF80}">
  <sheetPr>
    <pageSetUpPr fitToPage="1"/>
  </sheetPr>
  <dimension ref="A1:L46"/>
  <sheetViews>
    <sheetView zoomScaleNormal="100" workbookViewId="0">
      <selection activeCell="J27" sqref="J27"/>
    </sheetView>
  </sheetViews>
  <sheetFormatPr defaultRowHeight="15" x14ac:dyDescent="0.25"/>
  <cols>
    <col min="2" max="2" width="32.5703125" bestFit="1" customWidth="1"/>
    <col min="3" max="3" width="14.28515625" bestFit="1" customWidth="1"/>
    <col min="4" max="4" width="15" bestFit="1" customWidth="1"/>
    <col min="5" max="6" width="14.28515625" bestFit="1" customWidth="1"/>
    <col min="7" max="7" width="12.85546875" bestFit="1" customWidth="1"/>
    <col min="8" max="8" width="13.28515625" bestFit="1" customWidth="1"/>
    <col min="9" max="9" width="10.7109375" customWidth="1"/>
    <col min="10" max="10" width="12.85546875" bestFit="1" customWidth="1"/>
    <col min="11" max="11" width="14.7109375" bestFit="1" customWidth="1"/>
    <col min="12" max="12" width="14.140625" bestFit="1" customWidth="1"/>
  </cols>
  <sheetData>
    <row r="1" spans="1:12" x14ac:dyDescent="0.25">
      <c r="A1" t="s">
        <v>3721</v>
      </c>
    </row>
    <row r="2" spans="1:12" x14ac:dyDescent="0.25">
      <c r="A2" t="s">
        <v>1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3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2" x14ac:dyDescent="0.25">
      <c r="A8" t="s">
        <v>1747</v>
      </c>
    </row>
    <row r="9" spans="1:12" x14ac:dyDescent="0.25">
      <c r="A9" t="s">
        <v>18</v>
      </c>
      <c r="B9" t="s">
        <v>228</v>
      </c>
    </row>
    <row r="10" spans="1:12" x14ac:dyDescent="0.25">
      <c r="A10" t="s">
        <v>1717</v>
      </c>
      <c r="B10" t="s">
        <v>1718</v>
      </c>
      <c r="C10" s="22">
        <v>146569</v>
      </c>
      <c r="D10" s="22">
        <v>144813</v>
      </c>
      <c r="E10" s="22">
        <v>181203</v>
      </c>
      <c r="F10" s="22">
        <v>180000</v>
      </c>
      <c r="G10" s="22">
        <v>222538.46</v>
      </c>
      <c r="H10" s="21">
        <v>272000</v>
      </c>
      <c r="I10" s="21"/>
      <c r="J10" s="21">
        <v>285600</v>
      </c>
      <c r="K10" s="21">
        <v>0</v>
      </c>
      <c r="L10" s="22">
        <f>SUM(J10+K10)</f>
        <v>285600</v>
      </c>
    </row>
    <row r="11" spans="1:12" x14ac:dyDescent="0.25">
      <c r="A11" t="s">
        <v>1719</v>
      </c>
      <c r="B11" t="s">
        <v>1720</v>
      </c>
      <c r="C11" s="22">
        <v>25305</v>
      </c>
      <c r="D11" s="22">
        <v>19896</v>
      </c>
      <c r="E11" s="22">
        <v>28940</v>
      </c>
      <c r="F11" s="22">
        <v>35000</v>
      </c>
      <c r="G11" s="22">
        <v>25832.53</v>
      </c>
      <c r="H11" s="21">
        <v>33000</v>
      </c>
      <c r="I11" s="21"/>
      <c r="J11" s="21">
        <v>34650</v>
      </c>
      <c r="K11" s="21">
        <v>0</v>
      </c>
      <c r="L11" s="22">
        <f t="shared" ref="L11:L28" si="0">SUM(J11+K11)</f>
        <v>34650</v>
      </c>
    </row>
    <row r="12" spans="1:12" x14ac:dyDescent="0.25">
      <c r="A12" t="s">
        <v>1721</v>
      </c>
      <c r="B12" t="s">
        <v>1722</v>
      </c>
      <c r="C12" s="22">
        <v>290741</v>
      </c>
      <c r="D12" s="22">
        <v>181307</v>
      </c>
      <c r="E12" s="22">
        <v>257400</v>
      </c>
      <c r="F12" s="22">
        <v>200000</v>
      </c>
      <c r="G12" s="22">
        <v>284895.82</v>
      </c>
      <c r="H12" s="21">
        <v>340000</v>
      </c>
      <c r="I12" s="21"/>
      <c r="J12" s="21">
        <v>357000</v>
      </c>
      <c r="K12" s="21">
        <v>0</v>
      </c>
      <c r="L12" s="22">
        <f t="shared" si="0"/>
        <v>357000</v>
      </c>
    </row>
    <row r="13" spans="1:12" x14ac:dyDescent="0.25">
      <c r="A13" t="s">
        <v>53</v>
      </c>
      <c r="B13" t="s">
        <v>1723</v>
      </c>
      <c r="C13" s="22">
        <v>3810</v>
      </c>
      <c r="D13" s="22">
        <v>4145</v>
      </c>
      <c r="E13" s="22">
        <v>1320</v>
      </c>
      <c r="F13" s="22">
        <v>2000</v>
      </c>
      <c r="G13" s="22">
        <v>964</v>
      </c>
      <c r="H13" s="21">
        <v>1084</v>
      </c>
      <c r="I13" s="21"/>
      <c r="J13" s="21">
        <v>1138</v>
      </c>
      <c r="K13" s="21">
        <v>0</v>
      </c>
      <c r="L13" s="22">
        <f t="shared" si="0"/>
        <v>1138</v>
      </c>
    </row>
    <row r="14" spans="1:12" x14ac:dyDescent="0.25">
      <c r="A14" t="s">
        <v>55</v>
      </c>
      <c r="B14" t="s">
        <v>1724</v>
      </c>
      <c r="C14" s="22">
        <v>126661</v>
      </c>
      <c r="D14" s="22">
        <v>74739</v>
      </c>
      <c r="E14" s="22">
        <v>95615</v>
      </c>
      <c r="F14" s="22">
        <v>90000</v>
      </c>
      <c r="G14" s="22">
        <v>99255.95</v>
      </c>
      <c r="H14" s="21">
        <v>110000</v>
      </c>
      <c r="I14" s="21"/>
      <c r="J14" s="21">
        <v>115500</v>
      </c>
      <c r="K14" s="21">
        <v>0</v>
      </c>
      <c r="L14" s="22">
        <f t="shared" si="0"/>
        <v>115500</v>
      </c>
    </row>
    <row r="15" spans="1:12" x14ac:dyDescent="0.25">
      <c r="A15" t="s">
        <v>1725</v>
      </c>
      <c r="B15" t="s">
        <v>1726</v>
      </c>
      <c r="C15" s="22">
        <v>58368</v>
      </c>
      <c r="D15" s="22">
        <v>33035</v>
      </c>
      <c r="E15" s="22">
        <v>54867</v>
      </c>
      <c r="F15" s="22">
        <v>60000</v>
      </c>
      <c r="G15" s="22">
        <v>50484.63</v>
      </c>
      <c r="H15" s="21">
        <v>62000</v>
      </c>
      <c r="I15" s="21"/>
      <c r="J15" s="21">
        <v>65100</v>
      </c>
      <c r="K15" s="21">
        <v>0</v>
      </c>
      <c r="L15" s="22">
        <f t="shared" si="0"/>
        <v>65100</v>
      </c>
    </row>
    <row r="16" spans="1:12" x14ac:dyDescent="0.25">
      <c r="A16" t="s">
        <v>57</v>
      </c>
      <c r="B16" t="s">
        <v>1727</v>
      </c>
      <c r="C16" s="22">
        <v>7604</v>
      </c>
      <c r="D16" s="22">
        <v>8037</v>
      </c>
      <c r="E16" s="22">
        <v>7314</v>
      </c>
      <c r="F16" s="22">
        <v>7000</v>
      </c>
      <c r="G16" s="22">
        <v>8186.37</v>
      </c>
      <c r="H16" s="21">
        <v>10300</v>
      </c>
      <c r="I16" s="21"/>
      <c r="J16" s="21">
        <v>10815</v>
      </c>
      <c r="K16" s="21">
        <v>0</v>
      </c>
      <c r="L16" s="22">
        <f t="shared" si="0"/>
        <v>10815</v>
      </c>
    </row>
    <row r="17" spans="1:12" x14ac:dyDescent="0.25">
      <c r="A17" t="s">
        <v>1728</v>
      </c>
      <c r="B17" t="s">
        <v>1729</v>
      </c>
      <c r="C17" s="22">
        <v>0</v>
      </c>
      <c r="D17" s="22">
        <v>0</v>
      </c>
      <c r="E17" s="22">
        <v>0</v>
      </c>
      <c r="F17" s="22">
        <v>3000</v>
      </c>
      <c r="G17" s="22">
        <v>0</v>
      </c>
      <c r="H17" s="21">
        <v>0</v>
      </c>
      <c r="I17" s="21"/>
      <c r="J17" s="21">
        <v>0</v>
      </c>
      <c r="K17" s="21">
        <v>0</v>
      </c>
      <c r="L17" s="22">
        <f t="shared" si="0"/>
        <v>0</v>
      </c>
    </row>
    <row r="18" spans="1:12" x14ac:dyDescent="0.25">
      <c r="A18" t="s">
        <v>1730</v>
      </c>
      <c r="B18" t="s">
        <v>1731</v>
      </c>
      <c r="C18" s="22">
        <v>19319</v>
      </c>
      <c r="D18" s="22">
        <v>10480</v>
      </c>
      <c r="E18" s="22">
        <v>520</v>
      </c>
      <c r="F18" s="22">
        <v>3000</v>
      </c>
      <c r="G18" s="22">
        <v>0</v>
      </c>
      <c r="H18" s="21">
        <v>0</v>
      </c>
      <c r="I18" s="21"/>
      <c r="J18" s="21">
        <v>0</v>
      </c>
      <c r="K18" s="21">
        <v>0</v>
      </c>
      <c r="L18" s="22">
        <f t="shared" si="0"/>
        <v>0</v>
      </c>
    </row>
    <row r="19" spans="1:12" x14ac:dyDescent="0.25">
      <c r="A19" t="s">
        <v>1732</v>
      </c>
      <c r="B19" t="s">
        <v>1733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1">
        <v>0</v>
      </c>
      <c r="I19" s="21"/>
      <c r="J19" s="21">
        <v>0</v>
      </c>
      <c r="K19" s="21">
        <v>0</v>
      </c>
      <c r="L19" s="22">
        <f t="shared" si="0"/>
        <v>0</v>
      </c>
    </row>
    <row r="20" spans="1:12" x14ac:dyDescent="0.25">
      <c r="A20" t="s">
        <v>59</v>
      </c>
      <c r="B20" t="s">
        <v>77</v>
      </c>
      <c r="C20" s="22">
        <v>55155</v>
      </c>
      <c r="D20" s="22">
        <v>9713</v>
      </c>
      <c r="E20" s="22">
        <v>15403</v>
      </c>
      <c r="F20" s="22">
        <v>8500</v>
      </c>
      <c r="G20" s="22">
        <v>7035.89</v>
      </c>
      <c r="H20" s="21">
        <v>8000</v>
      </c>
      <c r="I20" s="21"/>
      <c r="J20" s="21">
        <v>8400</v>
      </c>
      <c r="K20" s="21">
        <v>0</v>
      </c>
      <c r="L20" s="22">
        <f t="shared" si="0"/>
        <v>8400</v>
      </c>
    </row>
    <row r="21" spans="1:12" x14ac:dyDescent="0.25">
      <c r="A21" t="s">
        <v>1734</v>
      </c>
      <c r="B21" t="s">
        <v>1660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1">
        <v>0</v>
      </c>
      <c r="I21" s="21"/>
      <c r="J21" s="21">
        <v>0</v>
      </c>
      <c r="K21" s="21">
        <v>0</v>
      </c>
      <c r="L21" s="22">
        <f t="shared" si="0"/>
        <v>0</v>
      </c>
    </row>
    <row r="22" spans="1:12" x14ac:dyDescent="0.25">
      <c r="A22" t="s">
        <v>76</v>
      </c>
      <c r="B22" t="s">
        <v>79</v>
      </c>
      <c r="C22" s="22">
        <v>-1739</v>
      </c>
      <c r="D22" s="22">
        <v>-930</v>
      </c>
      <c r="E22" s="22">
        <v>-2504</v>
      </c>
      <c r="F22" s="22">
        <v>0</v>
      </c>
      <c r="G22" s="22">
        <v>-1667.05</v>
      </c>
      <c r="H22" s="21">
        <v>-1667</v>
      </c>
      <c r="I22" s="21"/>
      <c r="J22" s="21">
        <v>0</v>
      </c>
      <c r="K22" s="21">
        <v>0</v>
      </c>
      <c r="L22" s="22">
        <f t="shared" si="0"/>
        <v>0</v>
      </c>
    </row>
    <row r="23" spans="1:12" x14ac:dyDescent="0.25">
      <c r="A23" t="s">
        <v>1737</v>
      </c>
      <c r="B23" t="s">
        <v>1738</v>
      </c>
      <c r="C23" s="22">
        <v>0</v>
      </c>
      <c r="D23" s="22">
        <v>0</v>
      </c>
      <c r="E23" s="22">
        <v>13593</v>
      </c>
      <c r="F23" s="22">
        <v>0</v>
      </c>
      <c r="G23" s="22">
        <v>18116.43</v>
      </c>
      <c r="H23" s="21">
        <v>21000</v>
      </c>
      <c r="I23" s="21"/>
      <c r="J23" s="21">
        <v>23000</v>
      </c>
      <c r="K23" s="21">
        <v>0</v>
      </c>
      <c r="L23" s="22">
        <f t="shared" si="0"/>
        <v>23000</v>
      </c>
    </row>
    <row r="24" spans="1:12" x14ac:dyDescent="0.25">
      <c r="A24" t="s">
        <v>1739</v>
      </c>
      <c r="B24" t="s">
        <v>1733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1">
        <v>0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1740</v>
      </c>
      <c r="B25" t="s">
        <v>1741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1">
        <v>0</v>
      </c>
      <c r="I25" s="21"/>
      <c r="J25" s="21">
        <v>0</v>
      </c>
      <c r="K25" s="21">
        <v>0</v>
      </c>
      <c r="L25" s="22">
        <f t="shared" si="0"/>
        <v>0</v>
      </c>
    </row>
    <row r="26" spans="1:12" x14ac:dyDescent="0.25">
      <c r="A26" t="s">
        <v>102</v>
      </c>
      <c r="B26" t="s">
        <v>1742</v>
      </c>
      <c r="C26" s="22">
        <v>438694</v>
      </c>
      <c r="D26" s="22">
        <v>800000</v>
      </c>
      <c r="E26" s="22">
        <v>800000</v>
      </c>
      <c r="F26" s="22">
        <v>970519</v>
      </c>
      <c r="G26" s="22">
        <v>0</v>
      </c>
      <c r="H26" s="21">
        <v>0</v>
      </c>
      <c r="I26" s="21"/>
      <c r="J26" s="21">
        <v>250000</v>
      </c>
      <c r="K26" s="21">
        <v>0</v>
      </c>
      <c r="L26" s="22">
        <f t="shared" si="0"/>
        <v>250000</v>
      </c>
    </row>
    <row r="27" spans="1:12" x14ac:dyDescent="0.25">
      <c r="A27" t="s">
        <v>1743</v>
      </c>
      <c r="B27" t="s">
        <v>1744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1745</v>
      </c>
      <c r="B28" t="s">
        <v>1746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x14ac:dyDescent="0.25"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x14ac:dyDescent="0.25">
      <c r="A31" t="s">
        <v>109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x14ac:dyDescent="0.25">
      <c r="B32" t="s">
        <v>1747</v>
      </c>
      <c r="C32" s="22">
        <f t="shared" ref="C32:H32" si="1">SUM(C10:C28)</f>
        <v>1170487</v>
      </c>
      <c r="D32" s="22">
        <f t="shared" si="1"/>
        <v>1285235</v>
      </c>
      <c r="E32" s="22">
        <f t="shared" si="1"/>
        <v>1453671</v>
      </c>
      <c r="F32" s="22">
        <f t="shared" si="1"/>
        <v>1559019</v>
      </c>
      <c r="G32" s="22">
        <f t="shared" si="1"/>
        <v>715643.03</v>
      </c>
      <c r="H32" s="22">
        <f t="shared" si="1"/>
        <v>855717</v>
      </c>
      <c r="I32" s="22"/>
      <c r="J32" s="22">
        <f>SUM(J10:J28)</f>
        <v>1151203</v>
      </c>
      <c r="K32" s="22">
        <f>SUM(K10:K28)</f>
        <v>0</v>
      </c>
      <c r="L32" s="22">
        <f>SUM(L10:L28)</f>
        <v>1151203</v>
      </c>
    </row>
    <row r="33" spans="1:12" x14ac:dyDescent="0.25"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x14ac:dyDescent="0.25">
      <c r="A34" t="s">
        <v>1761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5">
      <c r="A35" t="s">
        <v>18</v>
      </c>
      <c r="B35" t="s">
        <v>108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25">
      <c r="A36" t="s">
        <v>1750</v>
      </c>
      <c r="B36" t="s">
        <v>1751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1">
        <v>0</v>
      </c>
      <c r="I36" s="21"/>
      <c r="J36" s="21">
        <v>0</v>
      </c>
      <c r="K36" s="21">
        <v>0</v>
      </c>
      <c r="L36" s="22">
        <f>SUM(J36+K36)</f>
        <v>0</v>
      </c>
    </row>
    <row r="37" spans="1:12" x14ac:dyDescent="0.25">
      <c r="A37" t="s">
        <v>1752</v>
      </c>
      <c r="B37" t="s">
        <v>1753</v>
      </c>
      <c r="C37" s="22">
        <v>0</v>
      </c>
      <c r="D37" s="22">
        <v>0</v>
      </c>
      <c r="E37" s="22">
        <v>0</v>
      </c>
      <c r="F37" s="22">
        <v>0</v>
      </c>
      <c r="G37" s="22">
        <v>17.91</v>
      </c>
      <c r="H37" s="21">
        <v>18</v>
      </c>
      <c r="I37" s="21"/>
      <c r="J37" s="21">
        <v>0</v>
      </c>
      <c r="K37" s="21">
        <v>0</v>
      </c>
      <c r="L37" s="22">
        <f t="shared" ref="L37:L41" si="2">SUM(J37+K37)</f>
        <v>0</v>
      </c>
    </row>
    <row r="38" spans="1:12" x14ac:dyDescent="0.25">
      <c r="A38" t="s">
        <v>1754</v>
      </c>
      <c r="B38" t="s">
        <v>1755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1">
        <v>0</v>
      </c>
      <c r="I38" s="21"/>
      <c r="J38" s="21">
        <v>0</v>
      </c>
      <c r="K38" s="21">
        <v>0</v>
      </c>
      <c r="L38" s="22">
        <f t="shared" si="2"/>
        <v>0</v>
      </c>
    </row>
    <row r="39" spans="1:12" x14ac:dyDescent="0.25">
      <c r="A39" t="s">
        <v>1756</v>
      </c>
      <c r="B39" t="s">
        <v>1757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1">
        <v>0</v>
      </c>
      <c r="I39" s="21"/>
      <c r="J39" s="21">
        <v>0</v>
      </c>
      <c r="K39" s="21">
        <v>0</v>
      </c>
      <c r="L39" s="22">
        <f t="shared" si="2"/>
        <v>0</v>
      </c>
    </row>
    <row r="40" spans="1:12" x14ac:dyDescent="0.25">
      <c r="A40" t="s">
        <v>1758</v>
      </c>
      <c r="B40" t="s">
        <v>1759</v>
      </c>
      <c r="C40" s="22">
        <v>34200</v>
      </c>
      <c r="D40" s="22">
        <v>34250</v>
      </c>
      <c r="E40" s="22">
        <v>34200</v>
      </c>
      <c r="F40" s="22">
        <v>34200</v>
      </c>
      <c r="G40" s="22">
        <v>28500</v>
      </c>
      <c r="H40" s="21">
        <v>34200</v>
      </c>
      <c r="I40" s="21"/>
      <c r="J40" s="21">
        <v>34200</v>
      </c>
      <c r="K40" s="21">
        <v>0</v>
      </c>
      <c r="L40" s="22">
        <f t="shared" si="2"/>
        <v>34200</v>
      </c>
    </row>
    <row r="41" spans="1:12" x14ac:dyDescent="0.25">
      <c r="A41" t="s">
        <v>277</v>
      </c>
      <c r="B41" t="s">
        <v>1760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1">
        <v>0</v>
      </c>
      <c r="I41" s="21"/>
      <c r="J41" s="21">
        <v>0</v>
      </c>
      <c r="K41" s="21">
        <v>0</v>
      </c>
      <c r="L41" s="22">
        <f t="shared" si="2"/>
        <v>0</v>
      </c>
    </row>
    <row r="42" spans="1:12" x14ac:dyDescent="0.25"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5"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5">
      <c r="A44" t="s">
        <v>109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5">
      <c r="B45" t="s">
        <v>1761</v>
      </c>
      <c r="C45" s="22">
        <f>SUM(C36:C41)</f>
        <v>34200</v>
      </c>
      <c r="D45" s="22">
        <f t="shared" ref="D45:H45" si="3">SUM(D36:D41)</f>
        <v>34250</v>
      </c>
      <c r="E45" s="22">
        <f t="shared" si="3"/>
        <v>34200</v>
      </c>
      <c r="F45" s="22">
        <f t="shared" si="3"/>
        <v>34200</v>
      </c>
      <c r="G45" s="22">
        <f t="shared" si="3"/>
        <v>28517.91</v>
      </c>
      <c r="H45" s="22">
        <f t="shared" si="3"/>
        <v>34218</v>
      </c>
      <c r="I45" s="22"/>
      <c r="J45" s="22">
        <f>SUM(J36:J41)</f>
        <v>34200</v>
      </c>
      <c r="K45" s="22">
        <f>SUM(K36:K41)</f>
        <v>0</v>
      </c>
      <c r="L45" s="22">
        <f>SUM(L36:L41)</f>
        <v>34200</v>
      </c>
    </row>
    <row r="46" spans="1:12" x14ac:dyDescent="0.25">
      <c r="C46" s="25"/>
      <c r="D46" s="25"/>
      <c r="E46" s="25"/>
      <c r="F46" s="25"/>
      <c r="G46" s="25"/>
      <c r="H46" s="25"/>
      <c r="I46" s="25"/>
      <c r="J46" s="25"/>
      <c r="K46" s="25"/>
      <c r="L46" s="25"/>
    </row>
  </sheetData>
  <sheetProtection algorithmName="SHA-512" hashValue="YfTsAsIt+4t/HpM+W8bQNEihBHbVNcBRvJisMvied14XqE4X2Q2si5KpUihPPRRraZ+yUP9RrZpgrIsjT+2WoA==" saltValue="VMeE/vQqizCETSkkn40q/Q==" spinCount="100000" sheet="1" objects="1" scenarios="1" insertRows="0"/>
  <pageMargins left="0.25" right="0.25" top="0.75" bottom="0.75" header="0.3" footer="0.3"/>
  <pageSetup scale="75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EF4D-921E-4B0C-A523-8FA86C6ABBBF}">
  <sheetPr>
    <pageSetUpPr fitToPage="1"/>
  </sheetPr>
  <dimension ref="A1:L118"/>
  <sheetViews>
    <sheetView zoomScaleNormal="100" workbookViewId="0">
      <selection activeCell="H100" sqref="H100"/>
    </sheetView>
  </sheetViews>
  <sheetFormatPr defaultRowHeight="15" x14ac:dyDescent="0.25"/>
  <cols>
    <col min="2" max="2" width="32.5703125" style="7" bestFit="1" customWidth="1"/>
    <col min="3" max="3" width="13.28515625" style="12" bestFit="1" customWidth="1"/>
    <col min="4" max="4" width="15" style="12" bestFit="1" customWidth="1"/>
    <col min="5" max="5" width="14" style="12" bestFit="1" customWidth="1"/>
    <col min="6" max="6" width="14.140625" style="12" bestFit="1" customWidth="1"/>
    <col min="7" max="7" width="12.5703125" style="12" bestFit="1" customWidth="1"/>
    <col min="8" max="8" width="13.28515625" style="11" bestFit="1" customWidth="1"/>
    <col min="9" max="9" width="10.7109375" style="11" customWidth="1"/>
    <col min="10" max="10" width="12.85546875" style="11" bestFit="1" customWidth="1"/>
    <col min="11" max="11" width="14.7109375" style="11" bestFit="1" customWidth="1"/>
    <col min="12" max="12" width="14.140625" style="12" bestFit="1" customWidth="1"/>
  </cols>
  <sheetData>
    <row r="1" spans="1:12" x14ac:dyDescent="0.25">
      <c r="A1" t="s">
        <v>3721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3722</v>
      </c>
    </row>
    <row r="11" spans="1:12" x14ac:dyDescent="0.25">
      <c r="A11" t="s">
        <v>441</v>
      </c>
      <c r="C11" s="22"/>
      <c r="D11" s="22"/>
      <c r="E11" s="22"/>
      <c r="F11" s="22"/>
      <c r="G11" s="22"/>
      <c r="H11" s="21"/>
      <c r="I11" s="21"/>
      <c r="J11" s="21"/>
      <c r="K11" s="21"/>
      <c r="L11" s="22"/>
    </row>
    <row r="12" spans="1:12" x14ac:dyDescent="0.25">
      <c r="A12" t="s">
        <v>18</v>
      </c>
      <c r="B12" s="7" t="s">
        <v>228</v>
      </c>
      <c r="C12" s="22"/>
      <c r="D12" s="22"/>
      <c r="E12" s="22"/>
      <c r="F12" s="22"/>
      <c r="G12" s="22"/>
      <c r="H12" s="21"/>
      <c r="I12" s="21"/>
      <c r="J12" s="21"/>
      <c r="K12" s="21"/>
      <c r="L12" s="22"/>
    </row>
    <row r="13" spans="1:12" x14ac:dyDescent="0.25">
      <c r="A13" t="s">
        <v>393</v>
      </c>
      <c r="B13" s="7" t="s">
        <v>569</v>
      </c>
      <c r="C13" s="22">
        <v>-15951</v>
      </c>
      <c r="D13" s="22">
        <v>1818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395</v>
      </c>
      <c r="B14" s="7" t="s">
        <v>396</v>
      </c>
      <c r="C14" s="22">
        <v>290</v>
      </c>
      <c r="D14" s="22">
        <v>102</v>
      </c>
      <c r="E14" s="22">
        <v>968</v>
      </c>
      <c r="F14" s="22">
        <v>3024</v>
      </c>
      <c r="G14" s="22">
        <v>767.57</v>
      </c>
      <c r="H14" s="21">
        <v>900</v>
      </c>
      <c r="I14" s="21"/>
      <c r="J14" s="21">
        <v>756</v>
      </c>
      <c r="K14" s="21">
        <v>0</v>
      </c>
      <c r="L14" s="22">
        <f t="shared" ref="L14:L39" si="0">SUM(J14+K14)</f>
        <v>756</v>
      </c>
    </row>
    <row r="15" spans="1:12" x14ac:dyDescent="0.25">
      <c r="A15" t="s">
        <v>397</v>
      </c>
      <c r="B15" s="7" t="s">
        <v>398</v>
      </c>
      <c r="C15" s="22">
        <v>13438</v>
      </c>
      <c r="D15" s="22">
        <v>14350</v>
      </c>
      <c r="E15" s="22">
        <v>19477</v>
      </c>
      <c r="F15" s="22">
        <v>23625</v>
      </c>
      <c r="G15" s="22">
        <v>17796.8</v>
      </c>
      <c r="H15" s="21">
        <v>2250</v>
      </c>
      <c r="I15" s="21"/>
      <c r="J15" s="21">
        <v>26007.67</v>
      </c>
      <c r="K15" s="21">
        <v>0</v>
      </c>
      <c r="L15" s="22">
        <f t="shared" si="0"/>
        <v>26007.67</v>
      </c>
    </row>
    <row r="16" spans="1:12" x14ac:dyDescent="0.25">
      <c r="A16" t="s">
        <v>399</v>
      </c>
      <c r="B16" s="7" t="s">
        <v>400</v>
      </c>
      <c r="C16" s="22">
        <v>-11396</v>
      </c>
      <c r="D16" s="22">
        <v>15035</v>
      </c>
      <c r="E16" s="22">
        <v>15475</v>
      </c>
      <c r="F16" s="22">
        <v>17940</v>
      </c>
      <c r="G16" s="22">
        <v>12716.9</v>
      </c>
      <c r="H16" s="21">
        <v>14800</v>
      </c>
      <c r="I16" s="21"/>
      <c r="J16" s="21">
        <f>4495.54+13369.06</f>
        <v>17864.599999999999</v>
      </c>
      <c r="K16" s="21">
        <v>0</v>
      </c>
      <c r="L16" s="22">
        <f t="shared" si="0"/>
        <v>17864.599999999999</v>
      </c>
    </row>
    <row r="17" spans="1:12" x14ac:dyDescent="0.25">
      <c r="A17" t="s">
        <v>401</v>
      </c>
      <c r="B17" s="7" t="s">
        <v>574</v>
      </c>
      <c r="C17" s="22">
        <v>29429</v>
      </c>
      <c r="D17" s="22">
        <v>28827</v>
      </c>
      <c r="E17" s="22">
        <v>43202</v>
      </c>
      <c r="F17" s="22">
        <v>53812</v>
      </c>
      <c r="G17" s="22">
        <v>36251.97</v>
      </c>
      <c r="H17" s="21">
        <v>39750</v>
      </c>
      <c r="I17" s="21"/>
      <c r="J17" s="21">
        <v>39515.4</v>
      </c>
      <c r="K17" s="21">
        <v>0</v>
      </c>
      <c r="L17" s="22">
        <f t="shared" si="0"/>
        <v>39515.4</v>
      </c>
    </row>
    <row r="18" spans="1:12" x14ac:dyDescent="0.25">
      <c r="A18" t="s">
        <v>403</v>
      </c>
      <c r="B18" s="7" t="s">
        <v>404</v>
      </c>
      <c r="C18" s="22">
        <v>1660</v>
      </c>
      <c r="D18" s="22">
        <v>1618</v>
      </c>
      <c r="E18" s="22">
        <v>2581</v>
      </c>
      <c r="F18" s="22">
        <v>2616</v>
      </c>
      <c r="G18" s="22">
        <v>2178.94</v>
      </c>
      <c r="H18" s="21">
        <v>2500</v>
      </c>
      <c r="I18" s="21"/>
      <c r="J18" s="21">
        <v>2880</v>
      </c>
      <c r="K18" s="21">
        <v>0</v>
      </c>
      <c r="L18" s="22">
        <f t="shared" si="0"/>
        <v>2880</v>
      </c>
    </row>
    <row r="19" spans="1:12" x14ac:dyDescent="0.25">
      <c r="A19" t="s">
        <v>405</v>
      </c>
      <c r="B19" s="7" t="s">
        <v>406</v>
      </c>
      <c r="C19" s="22">
        <v>9330</v>
      </c>
      <c r="D19" s="22">
        <v>3765</v>
      </c>
      <c r="E19" s="22">
        <v>6459</v>
      </c>
      <c r="F19" s="22">
        <v>7105</v>
      </c>
      <c r="G19" s="22">
        <v>3516.25</v>
      </c>
      <c r="H19" s="21">
        <v>3516</v>
      </c>
      <c r="I19" s="21"/>
      <c r="J19" s="21">
        <f>G19*10%+G19</f>
        <v>3867.875</v>
      </c>
      <c r="K19" s="21">
        <v>0</v>
      </c>
      <c r="L19" s="22">
        <f t="shared" si="0"/>
        <v>3867.875</v>
      </c>
    </row>
    <row r="20" spans="1:12" x14ac:dyDescent="0.25">
      <c r="A20" t="s">
        <v>407</v>
      </c>
      <c r="B20" s="7" t="s">
        <v>1801</v>
      </c>
      <c r="C20" s="22">
        <v>57473</v>
      </c>
      <c r="D20" s="22">
        <v>34398</v>
      </c>
      <c r="E20" s="22">
        <v>0</v>
      </c>
      <c r="F20" s="22">
        <v>0</v>
      </c>
      <c r="G20" s="22">
        <v>0</v>
      </c>
      <c r="H20" s="21">
        <v>0</v>
      </c>
      <c r="I20" s="21"/>
      <c r="J20" s="21">
        <v>0</v>
      </c>
      <c r="K20" s="21">
        <v>0</v>
      </c>
      <c r="L20" s="22">
        <f t="shared" si="0"/>
        <v>0</v>
      </c>
    </row>
    <row r="21" spans="1:12" x14ac:dyDescent="0.25">
      <c r="A21" t="s">
        <v>1802</v>
      </c>
      <c r="B21" s="7" t="s">
        <v>1803</v>
      </c>
      <c r="C21" s="22">
        <v>20152</v>
      </c>
      <c r="D21" s="22">
        <v>0</v>
      </c>
      <c r="E21" s="22">
        <v>0</v>
      </c>
      <c r="F21" s="22">
        <v>0</v>
      </c>
      <c r="G21" s="22">
        <v>0</v>
      </c>
      <c r="H21" s="21">
        <v>0</v>
      </c>
      <c r="I21" s="21"/>
      <c r="J21" s="21">
        <v>0</v>
      </c>
      <c r="K21" s="21">
        <v>0</v>
      </c>
      <c r="L21" s="22">
        <f t="shared" si="0"/>
        <v>0</v>
      </c>
    </row>
    <row r="22" spans="1:12" x14ac:dyDescent="0.25">
      <c r="A22" t="s">
        <v>1804</v>
      </c>
      <c r="B22" s="7" t="s">
        <v>1805</v>
      </c>
      <c r="C22" s="22">
        <v>10884</v>
      </c>
      <c r="D22" s="22">
        <v>14591</v>
      </c>
      <c r="E22" s="22">
        <v>53843</v>
      </c>
      <c r="F22" s="22">
        <v>44100</v>
      </c>
      <c r="G22" s="22">
        <v>39764.47</v>
      </c>
      <c r="H22" s="21">
        <v>44500</v>
      </c>
      <c r="I22" s="21"/>
      <c r="J22" s="21">
        <v>44099.9</v>
      </c>
      <c r="K22" s="21">
        <v>0</v>
      </c>
      <c r="L22" s="22">
        <f t="shared" si="0"/>
        <v>44099.9</v>
      </c>
    </row>
    <row r="23" spans="1:12" x14ac:dyDescent="0.25">
      <c r="A23" t="s">
        <v>1806</v>
      </c>
      <c r="B23" s="7" t="s">
        <v>1807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1">
        <v>0</v>
      </c>
      <c r="I23" s="21"/>
      <c r="J23" s="21">
        <v>0</v>
      </c>
      <c r="K23" s="21">
        <v>0</v>
      </c>
      <c r="L23" s="22">
        <f t="shared" si="0"/>
        <v>0</v>
      </c>
    </row>
    <row r="24" spans="1:12" x14ac:dyDescent="0.25">
      <c r="A24" t="s">
        <v>1808</v>
      </c>
      <c r="B24" s="7" t="s">
        <v>1809</v>
      </c>
      <c r="C24" s="22">
        <v>0</v>
      </c>
      <c r="D24" s="22">
        <v>20749</v>
      </c>
      <c r="E24" s="22">
        <v>73500</v>
      </c>
      <c r="F24" s="22">
        <v>77175</v>
      </c>
      <c r="G24" s="22">
        <v>72227.83</v>
      </c>
      <c r="H24" s="21">
        <v>77175</v>
      </c>
      <c r="I24" s="21"/>
      <c r="J24" s="21">
        <v>82424.94</v>
      </c>
      <c r="K24" s="21">
        <v>0</v>
      </c>
      <c r="L24" s="22">
        <f t="shared" si="0"/>
        <v>82424.94</v>
      </c>
    </row>
    <row r="25" spans="1:12" x14ac:dyDescent="0.25">
      <c r="A25" t="s">
        <v>409</v>
      </c>
      <c r="B25" s="7" t="s">
        <v>1810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1">
        <v>0</v>
      </c>
      <c r="I25" s="21"/>
      <c r="J25" s="21">
        <v>0</v>
      </c>
      <c r="K25" s="21">
        <v>0</v>
      </c>
      <c r="L25" s="22">
        <f t="shared" si="0"/>
        <v>0</v>
      </c>
    </row>
    <row r="26" spans="1:12" x14ac:dyDescent="0.25">
      <c r="A26" t="s">
        <v>1811</v>
      </c>
      <c r="B26" s="7" t="s">
        <v>1812</v>
      </c>
      <c r="C26" s="22">
        <v>36667</v>
      </c>
      <c r="D26" s="22">
        <v>38169</v>
      </c>
      <c r="E26" s="22">
        <v>35845</v>
      </c>
      <c r="F26" s="22">
        <v>74530</v>
      </c>
      <c r="G26" s="22">
        <v>39324.160000000003</v>
      </c>
      <c r="H26" s="21">
        <v>44500</v>
      </c>
      <c r="I26" s="21"/>
      <c r="J26" s="21">
        <v>58911.839999999997</v>
      </c>
      <c r="K26" s="21">
        <v>0</v>
      </c>
      <c r="L26" s="22">
        <f t="shared" si="0"/>
        <v>58911.839999999997</v>
      </c>
    </row>
    <row r="27" spans="1:12" x14ac:dyDescent="0.25">
      <c r="A27" t="s">
        <v>411</v>
      </c>
      <c r="B27" s="7" t="s">
        <v>1813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415</v>
      </c>
      <c r="B28" s="7" t="s">
        <v>1814</v>
      </c>
      <c r="C28" s="22">
        <v>44379</v>
      </c>
      <c r="D28" s="22">
        <v>77521</v>
      </c>
      <c r="E28" s="22">
        <v>88037</v>
      </c>
      <c r="F28" s="22">
        <v>106250</v>
      </c>
      <c r="G28" s="22">
        <v>77118.820000000007</v>
      </c>
      <c r="H28" s="21">
        <v>88500</v>
      </c>
      <c r="I28" s="21"/>
      <c r="J28" s="21">
        <v>146862.56</v>
      </c>
      <c r="K28" s="21">
        <v>0</v>
      </c>
      <c r="L28" s="22">
        <f t="shared" si="0"/>
        <v>146862.56</v>
      </c>
    </row>
    <row r="29" spans="1:12" x14ac:dyDescent="0.25">
      <c r="A29" t="s">
        <v>417</v>
      </c>
      <c r="B29" s="7" t="s">
        <v>418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1">
        <v>0</v>
      </c>
      <c r="I29" s="21"/>
      <c r="J29" s="21">
        <v>0</v>
      </c>
      <c r="K29" s="21">
        <v>0</v>
      </c>
      <c r="L29" s="22">
        <f t="shared" si="0"/>
        <v>0</v>
      </c>
    </row>
    <row r="30" spans="1:12" x14ac:dyDescent="0.25">
      <c r="A30" t="s">
        <v>421</v>
      </c>
      <c r="B30" s="7" t="s">
        <v>422</v>
      </c>
      <c r="C30" s="22">
        <v>1662</v>
      </c>
      <c r="D30" s="22">
        <v>0</v>
      </c>
      <c r="E30" s="22">
        <v>0</v>
      </c>
      <c r="F30" s="22">
        <v>0</v>
      </c>
      <c r="G30" s="22">
        <v>0</v>
      </c>
      <c r="H30" s="21">
        <v>0</v>
      </c>
      <c r="I30" s="21"/>
      <c r="J30" s="21">
        <v>0</v>
      </c>
      <c r="K30" s="21">
        <v>0</v>
      </c>
      <c r="L30" s="22">
        <f t="shared" si="0"/>
        <v>0</v>
      </c>
    </row>
    <row r="31" spans="1:12" x14ac:dyDescent="0.25">
      <c r="A31" t="s">
        <v>423</v>
      </c>
      <c r="B31" s="7" t="s">
        <v>424</v>
      </c>
      <c r="C31" s="22">
        <v>1695</v>
      </c>
      <c r="D31" s="22">
        <v>1107</v>
      </c>
      <c r="E31" s="22">
        <v>1419</v>
      </c>
      <c r="F31" s="22">
        <v>1865</v>
      </c>
      <c r="G31" s="22">
        <v>1660.89</v>
      </c>
      <c r="H31" s="21">
        <v>1661</v>
      </c>
      <c r="I31" s="21"/>
      <c r="J31" s="21">
        <v>2050.65</v>
      </c>
      <c r="K31" s="21">
        <v>0</v>
      </c>
      <c r="L31" s="22">
        <f t="shared" si="0"/>
        <v>2050.65</v>
      </c>
    </row>
    <row r="32" spans="1:12" x14ac:dyDescent="0.25">
      <c r="A32" t="s">
        <v>425</v>
      </c>
      <c r="B32" s="7" t="s">
        <v>426</v>
      </c>
      <c r="C32" s="22">
        <v>1215</v>
      </c>
      <c r="D32" s="22">
        <v>810</v>
      </c>
      <c r="E32" s="22">
        <v>1215</v>
      </c>
      <c r="F32" s="22">
        <v>1620</v>
      </c>
      <c r="G32" s="22">
        <v>1660.88</v>
      </c>
      <c r="H32" s="21">
        <v>1661</v>
      </c>
      <c r="I32" s="21"/>
      <c r="J32" s="21">
        <v>1619.64</v>
      </c>
      <c r="K32" s="21">
        <v>0</v>
      </c>
      <c r="L32" s="22">
        <f t="shared" si="0"/>
        <v>1619.64</v>
      </c>
    </row>
    <row r="33" spans="1:12" x14ac:dyDescent="0.25">
      <c r="A33" t="s">
        <v>1815</v>
      </c>
      <c r="B33" s="7" t="s">
        <v>598</v>
      </c>
      <c r="C33" s="22">
        <v>0</v>
      </c>
      <c r="D33" s="22">
        <v>0</v>
      </c>
      <c r="E33" s="22">
        <v>0</v>
      </c>
      <c r="F33" s="22">
        <v>1550</v>
      </c>
      <c r="G33" s="22">
        <v>0</v>
      </c>
      <c r="H33" s="21">
        <v>0</v>
      </c>
      <c r="I33" s="21"/>
      <c r="J33" s="21">
        <v>0</v>
      </c>
      <c r="K33" s="21">
        <v>0</v>
      </c>
      <c r="L33" s="22">
        <f t="shared" si="0"/>
        <v>0</v>
      </c>
    </row>
    <row r="34" spans="1:12" x14ac:dyDescent="0.25">
      <c r="A34" t="s">
        <v>427</v>
      </c>
      <c r="B34" s="7" t="s">
        <v>428</v>
      </c>
      <c r="C34" s="22">
        <v>600</v>
      </c>
      <c r="D34" s="22">
        <v>323</v>
      </c>
      <c r="E34" s="22">
        <v>550</v>
      </c>
      <c r="F34" s="22">
        <v>0</v>
      </c>
      <c r="G34" s="22">
        <v>530</v>
      </c>
      <c r="H34" s="21">
        <v>675</v>
      </c>
      <c r="I34" s="21"/>
      <c r="J34" s="21">
        <v>0</v>
      </c>
      <c r="K34" s="21">
        <v>0</v>
      </c>
      <c r="L34" s="22">
        <f t="shared" si="0"/>
        <v>0</v>
      </c>
    </row>
    <row r="35" spans="1:12" x14ac:dyDescent="0.25">
      <c r="A35" t="s">
        <v>429</v>
      </c>
      <c r="B35" s="7" t="s">
        <v>430</v>
      </c>
      <c r="C35" s="22">
        <v>311</v>
      </c>
      <c r="D35" s="22">
        <v>277</v>
      </c>
      <c r="E35" s="22">
        <v>415</v>
      </c>
      <c r="F35" s="22">
        <v>1004</v>
      </c>
      <c r="G35" s="22">
        <v>415.2</v>
      </c>
      <c r="H35" s="21">
        <v>415</v>
      </c>
      <c r="I35" s="21"/>
      <c r="J35" s="21">
        <v>0</v>
      </c>
      <c r="K35" s="21">
        <v>0</v>
      </c>
      <c r="L35" s="22">
        <f t="shared" si="0"/>
        <v>0</v>
      </c>
    </row>
    <row r="36" spans="1:12" x14ac:dyDescent="0.25">
      <c r="A36" t="s">
        <v>431</v>
      </c>
      <c r="B36" s="7" t="s">
        <v>432</v>
      </c>
      <c r="C36" s="22">
        <v>1594</v>
      </c>
      <c r="D36" s="22">
        <v>306</v>
      </c>
      <c r="E36" s="22">
        <v>0</v>
      </c>
      <c r="F36" s="22">
        <v>4000</v>
      </c>
      <c r="G36" s="22">
        <v>134.66</v>
      </c>
      <c r="H36" s="21">
        <v>250</v>
      </c>
      <c r="I36" s="21"/>
      <c r="J36" s="21">
        <v>4000</v>
      </c>
      <c r="K36" s="21">
        <v>0</v>
      </c>
      <c r="L36" s="22">
        <f t="shared" si="0"/>
        <v>4000</v>
      </c>
    </row>
    <row r="37" spans="1:12" x14ac:dyDescent="0.25">
      <c r="A37" t="s">
        <v>433</v>
      </c>
      <c r="B37" s="7" t="s">
        <v>434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1">
        <v>0</v>
      </c>
      <c r="I37" s="21"/>
      <c r="J37" s="21">
        <v>0</v>
      </c>
      <c r="K37" s="21">
        <v>0</v>
      </c>
      <c r="L37" s="22">
        <f t="shared" si="0"/>
        <v>0</v>
      </c>
    </row>
    <row r="38" spans="1:12" x14ac:dyDescent="0.25">
      <c r="A38" t="s">
        <v>435</v>
      </c>
      <c r="B38" s="7" t="s">
        <v>436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1">
        <v>0</v>
      </c>
      <c r="I38" s="21"/>
      <c r="J38" s="21">
        <v>0</v>
      </c>
      <c r="K38" s="21">
        <v>0</v>
      </c>
      <c r="L38" s="22">
        <f t="shared" si="0"/>
        <v>0</v>
      </c>
    </row>
    <row r="39" spans="1:12" x14ac:dyDescent="0.25">
      <c r="A39" t="s">
        <v>437</v>
      </c>
      <c r="B39" s="7" t="s">
        <v>1816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1">
        <v>0</v>
      </c>
      <c r="I39" s="21"/>
      <c r="J39" s="21">
        <v>0</v>
      </c>
      <c r="K39" s="21">
        <v>0</v>
      </c>
      <c r="L39" s="22">
        <f t="shared" si="0"/>
        <v>0</v>
      </c>
    </row>
    <row r="40" spans="1:12" x14ac:dyDescent="0.25">
      <c r="C40" s="22"/>
      <c r="D40" s="22"/>
      <c r="E40" s="22"/>
      <c r="F40" s="22"/>
      <c r="G40" s="22"/>
      <c r="H40" s="21"/>
      <c r="I40" s="21"/>
      <c r="J40" s="21"/>
      <c r="K40" s="21"/>
      <c r="L40" s="22"/>
    </row>
    <row r="41" spans="1:12" x14ac:dyDescent="0.25">
      <c r="C41" s="22"/>
      <c r="D41" s="22"/>
      <c r="E41" s="22"/>
      <c r="F41" s="22"/>
      <c r="G41" s="22"/>
      <c r="H41" s="21"/>
      <c r="I41" s="21"/>
      <c r="J41" s="21"/>
      <c r="K41" s="21"/>
      <c r="L41" s="22"/>
    </row>
    <row r="42" spans="1:12" x14ac:dyDescent="0.25">
      <c r="A42" t="s">
        <v>109</v>
      </c>
      <c r="C42" s="22"/>
      <c r="D42" s="22"/>
      <c r="E42" s="22"/>
      <c r="F42" s="22"/>
      <c r="G42" s="22"/>
      <c r="H42" s="21"/>
      <c r="I42" s="21"/>
      <c r="J42" s="21"/>
      <c r="K42" s="21"/>
      <c r="L42" s="22"/>
    </row>
    <row r="43" spans="1:12" x14ac:dyDescent="0.25">
      <c r="B43" t="s">
        <v>441</v>
      </c>
      <c r="C43" s="20">
        <f t="shared" ref="C43:H43" si="1">SUM(C13:C39)</f>
        <v>203432</v>
      </c>
      <c r="D43" s="20">
        <f t="shared" si="1"/>
        <v>253766</v>
      </c>
      <c r="E43" s="20">
        <f t="shared" si="1"/>
        <v>342986</v>
      </c>
      <c r="F43" s="20">
        <f t="shared" si="1"/>
        <v>420216</v>
      </c>
      <c r="G43" s="20">
        <f t="shared" si="1"/>
        <v>306065.33999999997</v>
      </c>
      <c r="H43" s="20">
        <f t="shared" si="1"/>
        <v>323053</v>
      </c>
      <c r="I43" s="20"/>
      <c r="J43" s="20">
        <f>SUM(J13:J39)</f>
        <v>430861.07500000001</v>
      </c>
      <c r="K43" s="20">
        <f>SUM(K13:K39)</f>
        <v>0</v>
      </c>
      <c r="L43" s="20">
        <f>SUM(L13:L39)</f>
        <v>430861.07500000001</v>
      </c>
    </row>
    <row r="44" spans="1:12" x14ac:dyDescent="0.25">
      <c r="C44" s="22"/>
      <c r="D44" s="22"/>
      <c r="E44" s="22"/>
      <c r="F44" s="22"/>
      <c r="G44" s="22"/>
      <c r="H44" s="21"/>
      <c r="I44" s="21"/>
      <c r="J44" s="21"/>
      <c r="K44" s="21"/>
      <c r="L44" s="22"/>
    </row>
    <row r="45" spans="1:12" x14ac:dyDescent="0.25">
      <c r="A45" t="s">
        <v>478</v>
      </c>
      <c r="C45" s="22"/>
      <c r="D45" s="22"/>
      <c r="E45" s="22"/>
      <c r="F45" s="22"/>
      <c r="G45" s="22"/>
      <c r="H45" s="21"/>
      <c r="I45" s="21"/>
      <c r="J45" s="21"/>
      <c r="K45" s="21"/>
      <c r="L45" s="22"/>
    </row>
    <row r="46" spans="1:12" x14ac:dyDescent="0.25">
      <c r="A46" t="s">
        <v>18</v>
      </c>
      <c r="B46" s="7" t="s">
        <v>21</v>
      </c>
      <c r="C46" s="22"/>
      <c r="D46" s="22"/>
      <c r="E46" s="22"/>
      <c r="F46" s="22"/>
      <c r="G46" s="22"/>
      <c r="H46" s="21"/>
      <c r="I46" s="21"/>
      <c r="J46" s="21"/>
      <c r="K46" s="21"/>
      <c r="L46" s="22"/>
    </row>
    <row r="47" spans="1:12" x14ac:dyDescent="0.25">
      <c r="A47" t="s">
        <v>444</v>
      </c>
      <c r="B47" s="7" t="s">
        <v>445</v>
      </c>
      <c r="C47" s="22">
        <v>2635</v>
      </c>
      <c r="D47" s="22">
        <v>4307</v>
      </c>
      <c r="E47" s="22">
        <v>4416</v>
      </c>
      <c r="F47" s="22">
        <v>4858</v>
      </c>
      <c r="G47" s="22">
        <v>4756.99</v>
      </c>
      <c r="H47" s="21">
        <v>4757</v>
      </c>
      <c r="I47" s="21"/>
      <c r="J47" s="21">
        <f>G47*10%+G47</f>
        <v>5232.6889999999994</v>
      </c>
      <c r="K47" s="21">
        <v>0</v>
      </c>
      <c r="L47" s="22">
        <f>SUM(J47+K47)</f>
        <v>5232.6889999999994</v>
      </c>
    </row>
    <row r="48" spans="1:12" x14ac:dyDescent="0.25">
      <c r="A48" t="s">
        <v>446</v>
      </c>
      <c r="B48" s="7" t="s">
        <v>447</v>
      </c>
      <c r="C48" s="22">
        <v>495</v>
      </c>
      <c r="D48" s="22">
        <v>822</v>
      </c>
      <c r="E48" s="22">
        <v>814</v>
      </c>
      <c r="F48" s="22">
        <v>1500</v>
      </c>
      <c r="G48" s="22">
        <v>488.17</v>
      </c>
      <c r="H48" s="21">
        <v>1000</v>
      </c>
      <c r="I48" s="21"/>
      <c r="J48" s="21">
        <v>1200</v>
      </c>
      <c r="K48" s="21">
        <v>0</v>
      </c>
      <c r="L48" s="22">
        <f t="shared" ref="L48:L65" si="2">SUM(J48+K48)</f>
        <v>1200</v>
      </c>
    </row>
    <row r="49" spans="1:12" x14ac:dyDescent="0.25">
      <c r="A49" t="s">
        <v>448</v>
      </c>
      <c r="B49" s="7" t="s">
        <v>449</v>
      </c>
      <c r="C49" s="22">
        <v>996</v>
      </c>
      <c r="D49" s="22">
        <v>2782</v>
      </c>
      <c r="E49" s="22">
        <v>2421</v>
      </c>
      <c r="F49" s="22">
        <v>2000</v>
      </c>
      <c r="G49" s="22">
        <v>1455.68</v>
      </c>
      <c r="H49" s="21">
        <v>1600</v>
      </c>
      <c r="I49" s="21"/>
      <c r="J49" s="21">
        <v>1800</v>
      </c>
      <c r="K49" s="21">
        <v>0</v>
      </c>
      <c r="L49" s="22">
        <f t="shared" si="2"/>
        <v>1800</v>
      </c>
    </row>
    <row r="50" spans="1:12" x14ac:dyDescent="0.25">
      <c r="A50" t="s">
        <v>450</v>
      </c>
      <c r="B50" s="7" t="s">
        <v>451</v>
      </c>
      <c r="C50" s="22">
        <v>0</v>
      </c>
      <c r="D50" s="22">
        <v>286</v>
      </c>
      <c r="E50" s="22">
        <v>1019</v>
      </c>
      <c r="F50" s="22">
        <v>2000</v>
      </c>
      <c r="G50" s="22">
        <v>661.6</v>
      </c>
      <c r="H50" s="21">
        <v>1000</v>
      </c>
      <c r="I50" s="21"/>
      <c r="J50" s="21">
        <v>1800</v>
      </c>
      <c r="K50" s="21">
        <v>0</v>
      </c>
      <c r="L50" s="22">
        <f t="shared" si="2"/>
        <v>1800</v>
      </c>
    </row>
    <row r="51" spans="1:12" hidden="1" x14ac:dyDescent="0.25">
      <c r="A51" t="s">
        <v>452</v>
      </c>
      <c r="B51" s="7" t="s">
        <v>453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1">
        <v>0</v>
      </c>
      <c r="I51" s="21"/>
      <c r="J51" s="21">
        <v>0</v>
      </c>
      <c r="K51" s="21">
        <v>0</v>
      </c>
      <c r="L51" s="22">
        <f t="shared" si="2"/>
        <v>0</v>
      </c>
    </row>
    <row r="52" spans="1:12" x14ac:dyDescent="0.25">
      <c r="A52" t="s">
        <v>456</v>
      </c>
      <c r="B52" s="7" t="s">
        <v>457</v>
      </c>
      <c r="C52" s="22">
        <v>150</v>
      </c>
      <c r="D52" s="22">
        <v>300</v>
      </c>
      <c r="E52" s="22">
        <v>500</v>
      </c>
      <c r="F52" s="22">
        <v>1100</v>
      </c>
      <c r="G52" s="22">
        <v>1226</v>
      </c>
      <c r="H52" s="21">
        <v>1226</v>
      </c>
      <c r="I52" s="21"/>
      <c r="J52" s="21">
        <v>1250</v>
      </c>
      <c r="K52" s="21">
        <v>0</v>
      </c>
      <c r="L52" s="22">
        <f t="shared" si="2"/>
        <v>1250</v>
      </c>
    </row>
    <row r="53" spans="1:12" x14ac:dyDescent="0.25">
      <c r="A53" t="s">
        <v>464</v>
      </c>
      <c r="B53" s="7" t="s">
        <v>465</v>
      </c>
      <c r="C53" s="22">
        <v>0</v>
      </c>
      <c r="D53" s="22">
        <v>0</v>
      </c>
      <c r="E53" s="22">
        <v>46200</v>
      </c>
      <c r="F53" s="22">
        <v>47000</v>
      </c>
      <c r="G53" s="22">
        <v>46200.08</v>
      </c>
      <c r="H53" s="21">
        <v>46200</v>
      </c>
      <c r="I53" s="21"/>
      <c r="J53" s="21">
        <v>47000</v>
      </c>
      <c r="K53" s="21">
        <v>0</v>
      </c>
      <c r="L53" s="22">
        <f t="shared" si="2"/>
        <v>47000</v>
      </c>
    </row>
    <row r="54" spans="1:12" x14ac:dyDescent="0.25">
      <c r="A54" t="s">
        <v>468</v>
      </c>
      <c r="B54" s="7" t="s">
        <v>710</v>
      </c>
      <c r="C54" s="22">
        <v>17871</v>
      </c>
      <c r="D54" s="22">
        <v>16251</v>
      </c>
      <c r="E54" s="22">
        <v>19836</v>
      </c>
      <c r="F54" s="22">
        <v>16500</v>
      </c>
      <c r="G54" s="22">
        <v>15090.81</v>
      </c>
      <c r="H54" s="21">
        <v>18000</v>
      </c>
      <c r="I54" s="21"/>
      <c r="J54" s="21">
        <v>18000</v>
      </c>
      <c r="K54" s="21">
        <v>0</v>
      </c>
      <c r="L54" s="22">
        <f t="shared" si="2"/>
        <v>18000</v>
      </c>
    </row>
    <row r="55" spans="1:12" x14ac:dyDescent="0.25">
      <c r="A55" t="s">
        <v>470</v>
      </c>
      <c r="B55" s="7" t="s">
        <v>471</v>
      </c>
      <c r="C55" s="22">
        <v>3513</v>
      </c>
      <c r="D55" s="22">
        <v>3600</v>
      </c>
      <c r="E55" s="22">
        <v>3230</v>
      </c>
      <c r="F55" s="22">
        <v>3700</v>
      </c>
      <c r="G55" s="22">
        <v>1297.07</v>
      </c>
      <c r="H55" s="21">
        <v>1750</v>
      </c>
      <c r="I55" s="21"/>
      <c r="J55" s="21">
        <v>1500</v>
      </c>
      <c r="K55" s="21">
        <v>0</v>
      </c>
      <c r="L55" s="22">
        <f t="shared" si="2"/>
        <v>1500</v>
      </c>
    </row>
    <row r="56" spans="1:12" x14ac:dyDescent="0.25">
      <c r="A56" t="s">
        <v>1817</v>
      </c>
      <c r="B56" s="7" t="s">
        <v>1047</v>
      </c>
      <c r="C56" s="22">
        <v>20079</v>
      </c>
      <c r="D56" s="22">
        <v>20565</v>
      </c>
      <c r="E56" s="22">
        <v>25215</v>
      </c>
      <c r="F56" s="22">
        <v>23000</v>
      </c>
      <c r="G56" s="22">
        <v>19022.18</v>
      </c>
      <c r="H56" s="21">
        <v>23000</v>
      </c>
      <c r="I56" s="21"/>
      <c r="J56" s="21">
        <v>22000</v>
      </c>
      <c r="K56" s="21">
        <v>0</v>
      </c>
      <c r="L56" s="22">
        <f t="shared" si="2"/>
        <v>22000</v>
      </c>
    </row>
    <row r="57" spans="1:12" x14ac:dyDescent="0.25">
      <c r="A57" t="s">
        <v>1818</v>
      </c>
      <c r="B57" s="7" t="s">
        <v>1049</v>
      </c>
      <c r="C57" s="22">
        <v>6540</v>
      </c>
      <c r="D57" s="22">
        <v>3195</v>
      </c>
      <c r="E57" s="22">
        <v>9237</v>
      </c>
      <c r="F57" s="22">
        <v>8000</v>
      </c>
      <c r="G57" s="22">
        <v>3060.25</v>
      </c>
      <c r="H57" s="21">
        <v>3500</v>
      </c>
      <c r="I57" s="21"/>
      <c r="J57" s="21">
        <v>4000</v>
      </c>
      <c r="K57" s="21">
        <v>0</v>
      </c>
      <c r="L57" s="22">
        <f t="shared" si="2"/>
        <v>4000</v>
      </c>
    </row>
    <row r="58" spans="1:12" x14ac:dyDescent="0.25">
      <c r="A58" t="s">
        <v>1819</v>
      </c>
      <c r="B58" s="7" t="s">
        <v>1051</v>
      </c>
      <c r="C58" s="22">
        <v>6240</v>
      </c>
      <c r="D58" s="22">
        <v>3387</v>
      </c>
      <c r="E58" s="22">
        <v>7666</v>
      </c>
      <c r="F58" s="22">
        <v>6000</v>
      </c>
      <c r="G58" s="22">
        <v>3134.94</v>
      </c>
      <c r="H58" s="21">
        <v>3500</v>
      </c>
      <c r="I58" s="21"/>
      <c r="J58" s="21">
        <v>3500</v>
      </c>
      <c r="K58" s="21">
        <v>0</v>
      </c>
      <c r="L58" s="22">
        <f t="shared" si="2"/>
        <v>3500</v>
      </c>
    </row>
    <row r="59" spans="1:12" x14ac:dyDescent="0.25">
      <c r="A59" t="s">
        <v>1820</v>
      </c>
      <c r="B59" s="7" t="s">
        <v>1821</v>
      </c>
      <c r="C59" s="22">
        <v>3504</v>
      </c>
      <c r="D59" s="22">
        <v>2674</v>
      </c>
      <c r="E59" s="22">
        <v>3048</v>
      </c>
      <c r="F59" s="22">
        <v>3300</v>
      </c>
      <c r="G59" s="22">
        <v>2213.9699999999998</v>
      </c>
      <c r="H59" s="21">
        <v>2600</v>
      </c>
      <c r="I59" s="21"/>
      <c r="J59" s="21">
        <v>2900</v>
      </c>
      <c r="K59" s="21">
        <v>0</v>
      </c>
      <c r="L59" s="22">
        <f t="shared" si="2"/>
        <v>2900</v>
      </c>
    </row>
    <row r="60" spans="1:12" x14ac:dyDescent="0.25">
      <c r="A60" t="s">
        <v>472</v>
      </c>
      <c r="B60" s="7" t="s">
        <v>473</v>
      </c>
      <c r="C60" s="22">
        <v>6020</v>
      </c>
      <c r="D60" s="22">
        <v>24596</v>
      </c>
      <c r="E60" s="22">
        <v>16680</v>
      </c>
      <c r="F60" s="22">
        <v>20000</v>
      </c>
      <c r="G60" s="22">
        <v>10597.54</v>
      </c>
      <c r="H60" s="21">
        <v>11500</v>
      </c>
      <c r="I60" s="21"/>
      <c r="J60" s="21">
        <v>15000</v>
      </c>
      <c r="K60" s="21">
        <v>0</v>
      </c>
      <c r="L60" s="22">
        <f t="shared" si="2"/>
        <v>15000</v>
      </c>
    </row>
    <row r="61" spans="1:12" x14ac:dyDescent="0.25">
      <c r="A61" t="s">
        <v>1822</v>
      </c>
      <c r="B61" s="7" t="s">
        <v>1823</v>
      </c>
      <c r="C61" s="22">
        <v>0</v>
      </c>
      <c r="D61" s="22">
        <v>0</v>
      </c>
      <c r="E61" s="22">
        <v>2787</v>
      </c>
      <c r="F61" s="22">
        <v>10000</v>
      </c>
      <c r="G61" s="22">
        <v>5967.14</v>
      </c>
      <c r="H61" s="21">
        <v>7500</v>
      </c>
      <c r="I61" s="21"/>
      <c r="J61" s="21">
        <v>7000</v>
      </c>
      <c r="K61" s="21">
        <v>0</v>
      </c>
      <c r="L61" s="22">
        <f t="shared" si="2"/>
        <v>7000</v>
      </c>
    </row>
    <row r="62" spans="1:12" x14ac:dyDescent="0.25">
      <c r="A62" t="s">
        <v>1824</v>
      </c>
      <c r="B62" s="7" t="s">
        <v>1241</v>
      </c>
      <c r="C62" s="22">
        <v>10632</v>
      </c>
      <c r="D62" s="22">
        <v>0</v>
      </c>
      <c r="E62" s="22">
        <v>0</v>
      </c>
      <c r="F62" s="22">
        <v>0</v>
      </c>
      <c r="G62" s="22">
        <v>3237.72</v>
      </c>
      <c r="H62" s="21">
        <v>3238</v>
      </c>
      <c r="I62" s="21"/>
      <c r="J62" s="21">
        <v>3500</v>
      </c>
      <c r="K62" s="21">
        <v>0</v>
      </c>
      <c r="L62" s="22">
        <f t="shared" si="2"/>
        <v>3500</v>
      </c>
    </row>
    <row r="63" spans="1:12" x14ac:dyDescent="0.25">
      <c r="A63" t="s">
        <v>474</v>
      </c>
      <c r="B63" s="7" t="s">
        <v>475</v>
      </c>
      <c r="C63" s="22">
        <v>6769</v>
      </c>
      <c r="D63" s="22">
        <v>36513</v>
      </c>
      <c r="E63" s="22">
        <v>11873</v>
      </c>
      <c r="F63" s="22">
        <v>7500</v>
      </c>
      <c r="G63" s="22">
        <v>7200.31</v>
      </c>
      <c r="H63" s="21">
        <v>7500</v>
      </c>
      <c r="I63" s="21"/>
      <c r="J63" s="21">
        <v>7500</v>
      </c>
      <c r="K63" s="21">
        <v>0</v>
      </c>
      <c r="L63" s="22">
        <f t="shared" si="2"/>
        <v>7500</v>
      </c>
    </row>
    <row r="64" spans="1:12" x14ac:dyDescent="0.25">
      <c r="A64" t="s">
        <v>1825</v>
      </c>
      <c r="B64" s="7" t="s">
        <v>1826</v>
      </c>
      <c r="C64" s="22">
        <v>0</v>
      </c>
      <c r="D64" s="22">
        <v>0</v>
      </c>
      <c r="E64" s="22">
        <v>1495</v>
      </c>
      <c r="F64" s="22">
        <v>1550</v>
      </c>
      <c r="G64" s="22">
        <v>0</v>
      </c>
      <c r="H64" s="21">
        <v>1550</v>
      </c>
      <c r="I64" s="21"/>
      <c r="J64" s="21">
        <v>1550</v>
      </c>
      <c r="K64" s="21">
        <v>0</v>
      </c>
      <c r="L64" s="22">
        <f t="shared" si="2"/>
        <v>1550</v>
      </c>
    </row>
    <row r="65" spans="1:12" x14ac:dyDescent="0.25">
      <c r="A65" t="s">
        <v>476</v>
      </c>
      <c r="B65" s="7" t="s">
        <v>477</v>
      </c>
      <c r="C65" s="22">
        <v>802</v>
      </c>
      <c r="D65" s="22">
        <v>1981</v>
      </c>
      <c r="E65" s="22">
        <v>0</v>
      </c>
      <c r="F65" s="22">
        <v>500</v>
      </c>
      <c r="G65" s="22">
        <v>0</v>
      </c>
      <c r="H65" s="21">
        <v>0</v>
      </c>
      <c r="I65" s="21"/>
      <c r="J65" s="21">
        <v>500</v>
      </c>
      <c r="K65" s="21">
        <v>0</v>
      </c>
      <c r="L65" s="22">
        <f t="shared" si="2"/>
        <v>500</v>
      </c>
    </row>
    <row r="66" spans="1:12" x14ac:dyDescent="0.25">
      <c r="C66" s="22"/>
      <c r="D66" s="22"/>
      <c r="E66" s="22"/>
      <c r="F66" s="22"/>
      <c r="G66" s="22"/>
      <c r="H66" s="21"/>
      <c r="I66" s="21"/>
      <c r="J66" s="21"/>
      <c r="K66" s="21"/>
      <c r="L66" s="22"/>
    </row>
    <row r="67" spans="1:12" x14ac:dyDescent="0.25">
      <c r="C67" s="22"/>
      <c r="D67" s="22"/>
      <c r="E67" s="22"/>
      <c r="F67" s="22"/>
      <c r="G67" s="22"/>
      <c r="H67" s="21"/>
      <c r="I67" s="21"/>
      <c r="J67" s="21"/>
      <c r="K67" s="21"/>
      <c r="L67" s="22"/>
    </row>
    <row r="68" spans="1:12" x14ac:dyDescent="0.25">
      <c r="A68" t="s">
        <v>109</v>
      </c>
      <c r="C68" s="22"/>
      <c r="D68" s="22"/>
      <c r="E68" s="22"/>
      <c r="F68" s="22"/>
      <c r="G68" s="22"/>
      <c r="H68" s="21"/>
      <c r="I68" s="21"/>
      <c r="J68" s="21"/>
      <c r="K68" s="21"/>
      <c r="L68" s="22"/>
    </row>
    <row r="69" spans="1:12" x14ac:dyDescent="0.25">
      <c r="B69" t="s">
        <v>478</v>
      </c>
      <c r="C69" s="20">
        <f t="shared" ref="C69:H69" si="3">SUM(C47:C65)</f>
        <v>86246</v>
      </c>
      <c r="D69" s="20">
        <f t="shared" si="3"/>
        <v>121259</v>
      </c>
      <c r="E69" s="20">
        <f t="shared" si="3"/>
        <v>156437</v>
      </c>
      <c r="F69" s="20">
        <f t="shared" si="3"/>
        <v>158508</v>
      </c>
      <c r="G69" s="20">
        <f t="shared" si="3"/>
        <v>125610.45000000003</v>
      </c>
      <c r="H69" s="20">
        <f t="shared" si="3"/>
        <v>139421</v>
      </c>
      <c r="I69" s="20"/>
      <c r="J69" s="20">
        <f>SUM(J47:J65)</f>
        <v>145232.68900000001</v>
      </c>
      <c r="K69" s="20">
        <f>SUM(K47:K65)</f>
        <v>0</v>
      </c>
      <c r="L69" s="20">
        <f>SUM(L47:L65)</f>
        <v>145232.68900000001</v>
      </c>
    </row>
    <row r="70" spans="1:12" x14ac:dyDescent="0.25">
      <c r="C70" s="22"/>
      <c r="D70" s="22"/>
      <c r="E70" s="22"/>
      <c r="F70" s="22"/>
      <c r="G70" s="22"/>
      <c r="H70" s="21"/>
      <c r="I70" s="21"/>
      <c r="J70" s="21"/>
      <c r="K70" s="21"/>
      <c r="L70" s="22"/>
    </row>
    <row r="71" spans="1:12" x14ac:dyDescent="0.25">
      <c r="A71" t="s">
        <v>489</v>
      </c>
      <c r="C71" s="22"/>
      <c r="D71" s="22"/>
      <c r="E71" s="22"/>
      <c r="F71" s="22"/>
      <c r="G71" s="22"/>
      <c r="H71" s="21"/>
      <c r="I71" s="21"/>
      <c r="J71" s="21"/>
      <c r="K71" s="21"/>
      <c r="L71" s="22"/>
    </row>
    <row r="72" spans="1:12" x14ac:dyDescent="0.25">
      <c r="A72" t="s">
        <v>18</v>
      </c>
      <c r="C72" s="22"/>
      <c r="D72" s="22"/>
      <c r="E72" s="22"/>
      <c r="F72" s="22"/>
      <c r="G72" s="22"/>
      <c r="H72" s="21"/>
      <c r="I72" s="21"/>
      <c r="J72" s="21"/>
      <c r="K72" s="21"/>
      <c r="L72" s="22"/>
    </row>
    <row r="73" spans="1:12" x14ac:dyDescent="0.25">
      <c r="A73" t="s">
        <v>490</v>
      </c>
      <c r="B73" s="7" t="s">
        <v>491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1">
        <v>0</v>
      </c>
      <c r="I73" s="21"/>
      <c r="J73" s="21">
        <v>0</v>
      </c>
      <c r="K73" s="21">
        <v>0</v>
      </c>
      <c r="L73" s="22">
        <f>SUM(J73+K73)</f>
        <v>0</v>
      </c>
    </row>
    <row r="74" spans="1:12" x14ac:dyDescent="0.25">
      <c r="A74" t="s">
        <v>492</v>
      </c>
      <c r="B74" s="7" t="s">
        <v>493</v>
      </c>
      <c r="C74" s="22">
        <v>7</v>
      </c>
      <c r="D74" s="22">
        <v>0</v>
      </c>
      <c r="E74" s="22">
        <v>0</v>
      </c>
      <c r="F74" s="22">
        <v>150</v>
      </c>
      <c r="G74" s="22">
        <v>0</v>
      </c>
      <c r="H74" s="21">
        <v>0</v>
      </c>
      <c r="I74" s="21"/>
      <c r="J74" s="21">
        <v>150</v>
      </c>
      <c r="K74" s="21">
        <v>0</v>
      </c>
      <c r="L74" s="22">
        <f t="shared" ref="L74:L84" si="4">SUM(J74+K74)</f>
        <v>150</v>
      </c>
    </row>
    <row r="75" spans="1:12" x14ac:dyDescent="0.25">
      <c r="A75" t="s">
        <v>494</v>
      </c>
      <c r="B75" s="7" t="s">
        <v>489</v>
      </c>
      <c r="C75" s="22">
        <v>3874</v>
      </c>
      <c r="D75" s="22">
        <v>9417</v>
      </c>
      <c r="E75" s="22">
        <v>8122</v>
      </c>
      <c r="F75" s="22">
        <v>7500</v>
      </c>
      <c r="G75" s="22">
        <v>7403.63</v>
      </c>
      <c r="H75" s="21">
        <v>7700</v>
      </c>
      <c r="I75" s="21"/>
      <c r="J75" s="21">
        <v>7500</v>
      </c>
      <c r="K75" s="21">
        <v>0</v>
      </c>
      <c r="L75" s="22">
        <f t="shared" si="4"/>
        <v>7500</v>
      </c>
    </row>
    <row r="76" spans="1:12" x14ac:dyDescent="0.25">
      <c r="A76" t="s">
        <v>1827</v>
      </c>
      <c r="B76" s="7" t="s">
        <v>1828</v>
      </c>
      <c r="C76" s="22">
        <v>53575</v>
      </c>
      <c r="D76" s="22">
        <v>37408</v>
      </c>
      <c r="E76" s="22">
        <v>35390</v>
      </c>
      <c r="F76" s="22">
        <v>40000</v>
      </c>
      <c r="G76" s="22">
        <v>39451.29</v>
      </c>
      <c r="H76" s="21">
        <v>43000</v>
      </c>
      <c r="I76" s="21"/>
      <c r="J76" s="21">
        <v>40000</v>
      </c>
      <c r="K76" s="21">
        <v>0</v>
      </c>
      <c r="L76" s="22">
        <f t="shared" si="4"/>
        <v>40000</v>
      </c>
    </row>
    <row r="77" spans="1:12" hidden="1" x14ac:dyDescent="0.25">
      <c r="A77" t="s">
        <v>1829</v>
      </c>
      <c r="B77" s="7" t="s">
        <v>1830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1">
        <v>0</v>
      </c>
      <c r="I77" s="21"/>
      <c r="J77" s="21">
        <v>0</v>
      </c>
      <c r="K77" s="21">
        <v>0</v>
      </c>
      <c r="L77" s="22">
        <f t="shared" si="4"/>
        <v>0</v>
      </c>
    </row>
    <row r="78" spans="1:12" x14ac:dyDescent="0.25">
      <c r="A78" t="s">
        <v>1831</v>
      </c>
      <c r="B78" s="7" t="s">
        <v>1832</v>
      </c>
      <c r="C78" s="22">
        <v>-582</v>
      </c>
      <c r="D78" s="22">
        <v>0</v>
      </c>
      <c r="E78" s="22">
        <v>0</v>
      </c>
      <c r="F78" s="22">
        <v>0</v>
      </c>
      <c r="G78" s="22">
        <v>0</v>
      </c>
      <c r="H78" s="21">
        <v>0</v>
      </c>
      <c r="I78" s="21"/>
      <c r="J78" s="21">
        <v>0</v>
      </c>
      <c r="K78" s="21">
        <v>0</v>
      </c>
      <c r="L78" s="22">
        <f t="shared" si="4"/>
        <v>0</v>
      </c>
    </row>
    <row r="79" spans="1:12" hidden="1" x14ac:dyDescent="0.25">
      <c r="A79" t="s">
        <v>1833</v>
      </c>
      <c r="B79" s="7" t="s">
        <v>1834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1">
        <v>0</v>
      </c>
      <c r="I79" s="21"/>
      <c r="J79" s="21">
        <v>0</v>
      </c>
      <c r="K79" s="21">
        <v>0</v>
      </c>
      <c r="L79" s="22">
        <f t="shared" si="4"/>
        <v>0</v>
      </c>
    </row>
    <row r="80" spans="1:12" hidden="1" x14ac:dyDescent="0.25">
      <c r="A80" t="s">
        <v>1835</v>
      </c>
      <c r="B80" s="7" t="s">
        <v>1836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1">
        <v>0</v>
      </c>
      <c r="I80" s="21"/>
      <c r="J80" s="21">
        <v>0</v>
      </c>
      <c r="K80" s="21">
        <v>0</v>
      </c>
      <c r="L80" s="22">
        <f t="shared" si="4"/>
        <v>0</v>
      </c>
    </row>
    <row r="81" spans="1:12" x14ac:dyDescent="0.25">
      <c r="A81" t="s">
        <v>1837</v>
      </c>
      <c r="B81" s="7" t="s">
        <v>1838</v>
      </c>
      <c r="C81" s="22">
        <v>5723</v>
      </c>
      <c r="D81" s="22">
        <v>0</v>
      </c>
      <c r="E81" s="22">
        <v>0</v>
      </c>
      <c r="F81" s="22">
        <v>0</v>
      </c>
      <c r="G81" s="22">
        <v>0</v>
      </c>
      <c r="H81" s="21">
        <v>0</v>
      </c>
      <c r="I81" s="21"/>
      <c r="J81" s="21">
        <v>0</v>
      </c>
      <c r="K81" s="21">
        <v>0</v>
      </c>
      <c r="L81" s="22">
        <f t="shared" si="4"/>
        <v>0</v>
      </c>
    </row>
    <row r="82" spans="1:12" x14ac:dyDescent="0.25">
      <c r="A82" t="s">
        <v>495</v>
      </c>
      <c r="B82" s="7" t="s">
        <v>496</v>
      </c>
      <c r="C82" s="22">
        <v>0</v>
      </c>
      <c r="D82" s="22">
        <v>6049</v>
      </c>
      <c r="E82" s="22">
        <v>8698</v>
      </c>
      <c r="F82" s="22">
        <v>7500</v>
      </c>
      <c r="G82" s="22">
        <v>9376.2999999999993</v>
      </c>
      <c r="H82" s="21">
        <v>11000</v>
      </c>
      <c r="I82" s="21"/>
      <c r="J82" s="21">
        <v>9500</v>
      </c>
      <c r="K82" s="21">
        <v>0</v>
      </c>
      <c r="L82" s="22">
        <f t="shared" si="4"/>
        <v>9500</v>
      </c>
    </row>
    <row r="83" spans="1:12" hidden="1" x14ac:dyDescent="0.25">
      <c r="A83" t="s">
        <v>497</v>
      </c>
      <c r="B83" s="7" t="s">
        <v>498</v>
      </c>
      <c r="C83" s="22">
        <v>-85</v>
      </c>
      <c r="D83" s="22">
        <v>0</v>
      </c>
      <c r="E83" s="22">
        <v>0</v>
      </c>
      <c r="F83" s="22">
        <v>0</v>
      </c>
      <c r="G83" s="22">
        <v>0</v>
      </c>
      <c r="H83" s="21">
        <v>0</v>
      </c>
      <c r="I83" s="21"/>
      <c r="J83" s="21">
        <v>0</v>
      </c>
      <c r="K83" s="21">
        <v>0</v>
      </c>
      <c r="L83" s="22">
        <f t="shared" si="4"/>
        <v>0</v>
      </c>
    </row>
    <row r="84" spans="1:12" hidden="1" x14ac:dyDescent="0.25">
      <c r="A84" t="s">
        <v>499</v>
      </c>
      <c r="B84" s="7" t="s">
        <v>500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1">
        <v>0</v>
      </c>
      <c r="I84" s="21"/>
      <c r="J84" s="21">
        <v>0</v>
      </c>
      <c r="K84" s="21">
        <v>0</v>
      </c>
      <c r="L84" s="22">
        <f t="shared" si="4"/>
        <v>0</v>
      </c>
    </row>
    <row r="85" spans="1:12" x14ac:dyDescent="0.25">
      <c r="C85" s="22"/>
      <c r="D85" s="22"/>
      <c r="E85" s="22"/>
      <c r="F85" s="22"/>
      <c r="G85" s="22"/>
      <c r="H85" s="21"/>
      <c r="I85" s="21"/>
      <c r="J85" s="21"/>
      <c r="K85" s="21"/>
      <c r="L85" s="22"/>
    </row>
    <row r="86" spans="1:12" x14ac:dyDescent="0.25">
      <c r="C86" s="22"/>
      <c r="D86" s="22"/>
      <c r="E86" s="22"/>
      <c r="F86" s="22"/>
      <c r="G86" s="22"/>
      <c r="H86" s="21"/>
      <c r="I86" s="21"/>
      <c r="J86" s="21"/>
      <c r="K86" s="21"/>
      <c r="L86" s="22"/>
    </row>
    <row r="87" spans="1:12" x14ac:dyDescent="0.25">
      <c r="A87" t="s">
        <v>109</v>
      </c>
      <c r="C87" s="22"/>
      <c r="D87" s="22"/>
      <c r="E87" s="22"/>
      <c r="F87" s="22"/>
      <c r="G87" s="22"/>
      <c r="H87" s="21"/>
      <c r="I87" s="21"/>
      <c r="J87" s="21"/>
      <c r="K87" s="21"/>
      <c r="L87" s="22"/>
    </row>
    <row r="88" spans="1:12" x14ac:dyDescent="0.25">
      <c r="B88" t="s">
        <v>489</v>
      </c>
      <c r="C88" s="20">
        <f t="shared" ref="C88:H88" si="5">SUM(C73:C84)</f>
        <v>62512</v>
      </c>
      <c r="D88" s="20">
        <f t="shared" si="5"/>
        <v>52874</v>
      </c>
      <c r="E88" s="20">
        <f t="shared" si="5"/>
        <v>52210</v>
      </c>
      <c r="F88" s="20">
        <f t="shared" si="5"/>
        <v>55150</v>
      </c>
      <c r="G88" s="20">
        <f t="shared" si="5"/>
        <v>56231.22</v>
      </c>
      <c r="H88" s="20">
        <f t="shared" si="5"/>
        <v>61700</v>
      </c>
      <c r="I88" s="20"/>
      <c r="J88" s="20">
        <f>SUM(J73:J84)</f>
        <v>57150</v>
      </c>
      <c r="K88" s="20">
        <f>SUM(K73:K84)</f>
        <v>0</v>
      </c>
      <c r="L88" s="20">
        <f>SUM(L73:L84)</f>
        <v>57150</v>
      </c>
    </row>
    <row r="89" spans="1:12" x14ac:dyDescent="0.25">
      <c r="C89" s="22"/>
      <c r="D89" s="22"/>
      <c r="E89" s="22"/>
      <c r="F89" s="22"/>
      <c r="G89" s="22"/>
      <c r="H89" s="21"/>
      <c r="I89" s="21"/>
      <c r="J89" s="21"/>
      <c r="K89" s="21"/>
      <c r="L89" s="22"/>
    </row>
    <row r="90" spans="1:12" x14ac:dyDescent="0.25">
      <c r="A90" t="s">
        <v>501</v>
      </c>
      <c r="C90" s="22"/>
      <c r="D90" s="22"/>
      <c r="E90" s="22"/>
      <c r="F90" s="22"/>
      <c r="G90" s="22"/>
      <c r="H90" s="21"/>
      <c r="I90" s="21"/>
      <c r="J90" s="21"/>
      <c r="K90" s="21"/>
      <c r="L90" s="22"/>
    </row>
    <row r="91" spans="1:12" x14ac:dyDescent="0.25">
      <c r="A91" t="s">
        <v>18</v>
      </c>
      <c r="C91" s="22"/>
      <c r="D91" s="22"/>
      <c r="E91" s="22"/>
      <c r="F91" s="22"/>
      <c r="G91" s="22"/>
      <c r="H91" s="21"/>
      <c r="I91" s="21"/>
      <c r="J91" s="21"/>
      <c r="K91" s="21"/>
      <c r="L91" s="22"/>
    </row>
    <row r="92" spans="1:12" x14ac:dyDescent="0.25">
      <c r="A92" t="s">
        <v>502</v>
      </c>
      <c r="B92" s="7" t="s">
        <v>503</v>
      </c>
      <c r="C92" s="22">
        <v>11728</v>
      </c>
      <c r="D92" s="22">
        <v>0</v>
      </c>
      <c r="E92" s="22">
        <v>0</v>
      </c>
      <c r="F92" s="22">
        <v>4000</v>
      </c>
      <c r="G92" s="22">
        <v>2308.71</v>
      </c>
      <c r="H92" s="21">
        <v>2500</v>
      </c>
      <c r="I92" s="21"/>
      <c r="J92" s="21">
        <v>4000</v>
      </c>
      <c r="K92" s="21">
        <v>0</v>
      </c>
      <c r="L92" s="22">
        <f>SUM(J92+K92)</f>
        <v>4000</v>
      </c>
    </row>
    <row r="93" spans="1:12" x14ac:dyDescent="0.25">
      <c r="A93" t="s">
        <v>508</v>
      </c>
      <c r="B93" s="7" t="s">
        <v>509</v>
      </c>
      <c r="C93" s="22">
        <v>3084</v>
      </c>
      <c r="D93" s="22">
        <v>2332</v>
      </c>
      <c r="E93" s="22">
        <v>8587</v>
      </c>
      <c r="F93" s="22">
        <v>15000</v>
      </c>
      <c r="G93" s="22">
        <v>13527.6</v>
      </c>
      <c r="H93" s="21">
        <v>14000</v>
      </c>
      <c r="I93" s="21"/>
      <c r="J93" s="21">
        <v>15000</v>
      </c>
      <c r="K93" s="21">
        <v>0</v>
      </c>
      <c r="L93" s="22">
        <f t="shared" ref="L93:L99" si="6">SUM(J93+K93)</f>
        <v>15000</v>
      </c>
    </row>
    <row r="94" spans="1:12" x14ac:dyDescent="0.25">
      <c r="A94" t="s">
        <v>516</v>
      </c>
      <c r="B94" s="7" t="s">
        <v>517</v>
      </c>
      <c r="C94" s="22">
        <v>0</v>
      </c>
      <c r="D94" s="22">
        <v>1200</v>
      </c>
      <c r="E94" s="22">
        <v>1227</v>
      </c>
      <c r="F94" s="22">
        <v>1000</v>
      </c>
      <c r="G94" s="22">
        <v>1076.5</v>
      </c>
      <c r="H94" s="21">
        <v>1500</v>
      </c>
      <c r="I94" s="21"/>
      <c r="J94" s="21">
        <v>1200</v>
      </c>
      <c r="K94" s="21">
        <v>0</v>
      </c>
      <c r="L94" s="22">
        <f t="shared" si="6"/>
        <v>1200</v>
      </c>
    </row>
    <row r="95" spans="1:12" x14ac:dyDescent="0.25">
      <c r="A95" t="s">
        <v>518</v>
      </c>
      <c r="B95" s="7" t="s">
        <v>519</v>
      </c>
      <c r="C95" s="22">
        <v>0</v>
      </c>
      <c r="D95" s="22">
        <v>128</v>
      </c>
      <c r="E95" s="22">
        <v>0</v>
      </c>
      <c r="F95" s="22">
        <v>0</v>
      </c>
      <c r="G95" s="22">
        <v>0</v>
      </c>
      <c r="H95" s="21">
        <v>0</v>
      </c>
      <c r="I95" s="21"/>
      <c r="J95" s="21">
        <v>0</v>
      </c>
      <c r="K95" s="21">
        <v>0</v>
      </c>
      <c r="L95" s="22">
        <f t="shared" si="6"/>
        <v>0</v>
      </c>
    </row>
    <row r="96" spans="1:12" x14ac:dyDescent="0.25">
      <c r="A96" t="s">
        <v>520</v>
      </c>
      <c r="B96" s="7" t="s">
        <v>521</v>
      </c>
      <c r="C96" s="22">
        <v>7962</v>
      </c>
      <c r="D96" s="22">
        <v>6177</v>
      </c>
      <c r="E96" s="22">
        <v>9145</v>
      </c>
      <c r="F96" s="22">
        <v>9000</v>
      </c>
      <c r="G96" s="22">
        <v>2807.13</v>
      </c>
      <c r="H96" s="21">
        <v>5000</v>
      </c>
      <c r="I96" s="21"/>
      <c r="J96" s="21">
        <v>8000</v>
      </c>
      <c r="K96" s="21">
        <v>0</v>
      </c>
      <c r="L96" s="22">
        <f t="shared" si="6"/>
        <v>8000</v>
      </c>
    </row>
    <row r="97" spans="1:12" x14ac:dyDescent="0.25">
      <c r="A97" t="s">
        <v>1839</v>
      </c>
      <c r="B97" s="7" t="s">
        <v>775</v>
      </c>
      <c r="C97" s="22">
        <v>35826</v>
      </c>
      <c r="D97" s="22">
        <v>17861</v>
      </c>
      <c r="E97" s="22">
        <v>16377</v>
      </c>
      <c r="F97" s="22">
        <v>15000</v>
      </c>
      <c r="G97" s="22">
        <v>10408.27</v>
      </c>
      <c r="H97" s="21">
        <v>12800</v>
      </c>
      <c r="I97" s="21"/>
      <c r="J97" s="21">
        <v>12000</v>
      </c>
      <c r="K97" s="21">
        <v>0</v>
      </c>
      <c r="L97" s="22">
        <f t="shared" si="6"/>
        <v>12000</v>
      </c>
    </row>
    <row r="98" spans="1:12" x14ac:dyDescent="0.25">
      <c r="A98" t="s">
        <v>522</v>
      </c>
      <c r="B98" s="7" t="s">
        <v>1840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1">
        <v>0</v>
      </c>
      <c r="I98" s="21"/>
      <c r="J98" s="21">
        <v>0</v>
      </c>
      <c r="K98" s="21">
        <v>0</v>
      </c>
      <c r="L98" s="22">
        <f t="shared" si="6"/>
        <v>0</v>
      </c>
    </row>
    <row r="99" spans="1:12" x14ac:dyDescent="0.25">
      <c r="A99" t="s">
        <v>1841</v>
      </c>
      <c r="B99" s="7" t="s">
        <v>1085</v>
      </c>
      <c r="C99" s="22">
        <v>1125</v>
      </c>
      <c r="D99" s="22">
        <v>1120</v>
      </c>
      <c r="E99" s="22">
        <v>1197</v>
      </c>
      <c r="F99" s="22">
        <v>1400</v>
      </c>
      <c r="G99" s="22">
        <v>1140</v>
      </c>
      <c r="H99" s="21">
        <v>1400</v>
      </c>
      <c r="I99" s="21"/>
      <c r="J99" s="21">
        <v>1300</v>
      </c>
      <c r="K99" s="21">
        <v>0</v>
      </c>
      <c r="L99" s="22">
        <f t="shared" si="6"/>
        <v>1300</v>
      </c>
    </row>
    <row r="100" spans="1:12" x14ac:dyDescent="0.25">
      <c r="C100" s="22"/>
      <c r="D100" s="22"/>
      <c r="E100" s="22"/>
      <c r="F100" s="22"/>
      <c r="G100" s="22"/>
      <c r="H100" s="21"/>
      <c r="I100" s="21"/>
      <c r="J100" s="21"/>
      <c r="K100" s="21"/>
      <c r="L100" s="22"/>
    </row>
    <row r="101" spans="1:12" x14ac:dyDescent="0.25">
      <c r="C101" s="22"/>
      <c r="D101" s="22"/>
      <c r="E101" s="22"/>
      <c r="F101" s="22"/>
      <c r="G101" s="22"/>
      <c r="H101" s="21"/>
      <c r="I101" s="21"/>
      <c r="J101" s="21"/>
      <c r="K101" s="21"/>
      <c r="L101" s="22"/>
    </row>
    <row r="102" spans="1:12" x14ac:dyDescent="0.25">
      <c r="A102" t="s">
        <v>109</v>
      </c>
      <c r="C102" s="22"/>
      <c r="D102" s="22"/>
      <c r="E102" s="22"/>
      <c r="F102" s="22"/>
      <c r="G102" s="22"/>
      <c r="H102" s="21"/>
      <c r="I102" s="21"/>
      <c r="J102" s="21"/>
      <c r="K102" s="21"/>
      <c r="L102" s="22"/>
    </row>
    <row r="103" spans="1:12" x14ac:dyDescent="0.25">
      <c r="B103" t="s">
        <v>501</v>
      </c>
      <c r="C103" s="20">
        <f t="shared" ref="C103:H103" si="7">SUM(C92:C99)</f>
        <v>59725</v>
      </c>
      <c r="D103" s="20">
        <f t="shared" si="7"/>
        <v>28818</v>
      </c>
      <c r="E103" s="20">
        <f t="shared" si="7"/>
        <v>36533</v>
      </c>
      <c r="F103" s="20">
        <f t="shared" si="7"/>
        <v>45400</v>
      </c>
      <c r="G103" s="20">
        <f t="shared" si="7"/>
        <v>31268.210000000003</v>
      </c>
      <c r="H103" s="20">
        <f t="shared" si="7"/>
        <v>37200</v>
      </c>
      <c r="I103" s="20"/>
      <c r="J103" s="20">
        <f>SUM(J92:J99)</f>
        <v>41500</v>
      </c>
      <c r="K103" s="20">
        <f>SUM(K92:K99)</f>
        <v>0</v>
      </c>
      <c r="L103" s="20">
        <f>SUM(L92:L99)</f>
        <v>41500</v>
      </c>
    </row>
    <row r="104" spans="1:12" x14ac:dyDescent="0.25">
      <c r="C104" s="22"/>
      <c r="D104" s="22"/>
      <c r="E104" s="22"/>
      <c r="F104" s="22"/>
      <c r="G104" s="22"/>
      <c r="H104" s="21"/>
      <c r="I104" s="21"/>
      <c r="J104" s="21"/>
      <c r="K104" s="21"/>
      <c r="L104" s="22"/>
    </row>
    <row r="105" spans="1:12" x14ac:dyDescent="0.25">
      <c r="A105" t="s">
        <v>530</v>
      </c>
      <c r="C105" s="22"/>
      <c r="D105" s="22"/>
      <c r="E105" s="22"/>
      <c r="F105" s="22"/>
      <c r="G105" s="22"/>
      <c r="H105" s="21"/>
      <c r="I105" s="21"/>
      <c r="J105" s="21"/>
      <c r="K105" s="21"/>
      <c r="L105" s="22"/>
    </row>
    <row r="106" spans="1:12" x14ac:dyDescent="0.25">
      <c r="A106" t="s">
        <v>18</v>
      </c>
      <c r="B106" s="7" t="s">
        <v>526</v>
      </c>
      <c r="C106" s="22"/>
      <c r="D106" s="22"/>
      <c r="E106" s="22"/>
      <c r="F106" s="22"/>
      <c r="G106" s="22"/>
      <c r="H106" s="21"/>
      <c r="I106" s="21"/>
      <c r="J106" s="21"/>
      <c r="K106" s="21"/>
      <c r="L106" s="22"/>
    </row>
    <row r="107" spans="1:12" x14ac:dyDescent="0.25">
      <c r="A107" t="s">
        <v>527</v>
      </c>
      <c r="B107" s="7" t="s">
        <v>530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1">
        <v>0</v>
      </c>
      <c r="I107" s="21"/>
      <c r="J107" s="21">
        <v>0</v>
      </c>
      <c r="K107" s="21">
        <v>0</v>
      </c>
      <c r="L107" s="22">
        <f>SUM(J107+K107)</f>
        <v>0</v>
      </c>
    </row>
    <row r="108" spans="1:12" x14ac:dyDescent="0.25">
      <c r="A108" t="s">
        <v>1842</v>
      </c>
      <c r="B108" s="7" t="s">
        <v>1843</v>
      </c>
      <c r="C108" s="22">
        <v>4002</v>
      </c>
      <c r="D108" s="22">
        <v>-5508</v>
      </c>
      <c r="E108" s="22">
        <v>0</v>
      </c>
      <c r="F108" s="22">
        <v>0</v>
      </c>
      <c r="G108" s="22">
        <v>0</v>
      </c>
      <c r="H108" s="21">
        <v>0</v>
      </c>
      <c r="I108" s="21"/>
      <c r="J108" s="21">
        <v>0</v>
      </c>
      <c r="K108" s="21">
        <v>0</v>
      </c>
      <c r="L108" s="22">
        <f t="shared" ref="L108:L109" si="8">SUM(J108+K108)</f>
        <v>0</v>
      </c>
    </row>
    <row r="109" spans="1:12" x14ac:dyDescent="0.25">
      <c r="A109" t="s">
        <v>529</v>
      </c>
      <c r="B109" s="7" t="s">
        <v>1844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1">
        <v>0</v>
      </c>
      <c r="I109" s="21"/>
      <c r="J109" s="21">
        <v>0</v>
      </c>
      <c r="K109" s="21">
        <v>0</v>
      </c>
      <c r="L109" s="22">
        <f t="shared" si="8"/>
        <v>0</v>
      </c>
    </row>
    <row r="110" spans="1:12" x14ac:dyDescent="0.25">
      <c r="C110" s="22"/>
      <c r="D110" s="22"/>
      <c r="E110" s="22"/>
      <c r="F110" s="22"/>
      <c r="G110" s="22"/>
      <c r="H110" s="21"/>
      <c r="I110" s="21"/>
      <c r="J110" s="21"/>
      <c r="K110" s="21"/>
      <c r="L110" s="22"/>
    </row>
    <row r="111" spans="1:12" x14ac:dyDescent="0.25">
      <c r="C111" s="22"/>
      <c r="D111" s="22"/>
      <c r="E111" s="22"/>
      <c r="F111" s="22"/>
      <c r="G111" s="22"/>
      <c r="H111" s="21"/>
      <c r="I111" s="21"/>
      <c r="J111" s="21"/>
      <c r="K111" s="21"/>
      <c r="L111" s="22"/>
    </row>
    <row r="112" spans="1:12" x14ac:dyDescent="0.25">
      <c r="A112" t="s">
        <v>109</v>
      </c>
      <c r="C112" s="22"/>
      <c r="D112" s="22"/>
      <c r="E112" s="22"/>
      <c r="F112" s="22"/>
      <c r="G112" s="22"/>
      <c r="H112" s="21"/>
      <c r="I112" s="21"/>
      <c r="J112" s="21"/>
      <c r="K112" s="21"/>
      <c r="L112" s="22"/>
    </row>
    <row r="113" spans="1:12" x14ac:dyDescent="0.25">
      <c r="B113" t="s">
        <v>530</v>
      </c>
      <c r="C113" s="20">
        <f t="shared" ref="C113:H113" si="9">SUM(C107:C109)</f>
        <v>4002</v>
      </c>
      <c r="D113" s="20">
        <f t="shared" si="9"/>
        <v>-5508</v>
      </c>
      <c r="E113" s="20">
        <f t="shared" si="9"/>
        <v>0</v>
      </c>
      <c r="F113" s="20">
        <f t="shared" si="9"/>
        <v>0</v>
      </c>
      <c r="G113" s="20">
        <f t="shared" si="9"/>
        <v>0</v>
      </c>
      <c r="H113" s="20">
        <f t="shared" si="9"/>
        <v>0</v>
      </c>
      <c r="I113" s="20"/>
      <c r="J113" s="20">
        <f>SUM(J107:J109)</f>
        <v>0</v>
      </c>
      <c r="K113" s="20">
        <f>SUM(K107:K109)</f>
        <v>0</v>
      </c>
      <c r="L113" s="20">
        <f>SUM(L107:L109)</f>
        <v>0</v>
      </c>
    </row>
    <row r="114" spans="1:12" x14ac:dyDescent="0.25">
      <c r="C114" s="22"/>
      <c r="D114" s="22"/>
      <c r="E114" s="22"/>
      <c r="F114" s="22"/>
      <c r="G114" s="22"/>
      <c r="H114" s="21"/>
      <c r="I114" s="21"/>
      <c r="J114" s="21"/>
      <c r="K114" s="21"/>
      <c r="L114" s="22"/>
    </row>
    <row r="115" spans="1:12" x14ac:dyDescent="0.25">
      <c r="C115" s="22"/>
      <c r="D115" s="22"/>
      <c r="E115" s="22"/>
      <c r="F115" s="22"/>
      <c r="G115" s="22"/>
      <c r="H115" s="21"/>
      <c r="I115" s="21"/>
      <c r="J115" s="21"/>
      <c r="K115" s="21"/>
      <c r="L115" s="22"/>
    </row>
    <row r="116" spans="1:12" x14ac:dyDescent="0.25">
      <c r="A116" t="s">
        <v>109</v>
      </c>
      <c r="C116" s="22"/>
      <c r="D116" s="22"/>
      <c r="E116" s="22"/>
      <c r="F116" s="22"/>
      <c r="G116" s="22"/>
      <c r="H116" s="21"/>
      <c r="I116" s="21"/>
      <c r="J116" s="21"/>
      <c r="K116" s="21"/>
      <c r="L116" s="22"/>
    </row>
    <row r="117" spans="1:12" x14ac:dyDescent="0.25">
      <c r="B117" t="s">
        <v>3723</v>
      </c>
      <c r="C117" s="20">
        <f t="shared" ref="C117:H117" si="10">C43+C69+C88+C103+C113</f>
        <v>415917</v>
      </c>
      <c r="D117" s="20">
        <f t="shared" si="10"/>
        <v>451209</v>
      </c>
      <c r="E117" s="20">
        <f t="shared" si="10"/>
        <v>588166</v>
      </c>
      <c r="F117" s="20">
        <f t="shared" si="10"/>
        <v>679274</v>
      </c>
      <c r="G117" s="20">
        <f t="shared" si="10"/>
        <v>519175.22000000003</v>
      </c>
      <c r="H117" s="20">
        <f t="shared" si="10"/>
        <v>561374</v>
      </c>
      <c r="I117" s="20"/>
      <c r="J117" s="20">
        <f>J43+J69+J88+J103+J113</f>
        <v>674743.76399999997</v>
      </c>
      <c r="K117" s="20">
        <f>K43+K69+K88+K103+K113</f>
        <v>0</v>
      </c>
      <c r="L117" s="20">
        <f>L43+L69+L88+L103+L113</f>
        <v>674743.76399999997</v>
      </c>
    </row>
    <row r="118" spans="1:12" x14ac:dyDescent="0.25">
      <c r="C118" s="22"/>
      <c r="D118" s="22"/>
      <c r="E118" s="22"/>
      <c r="F118" s="22"/>
      <c r="G118" s="22"/>
      <c r="H118" s="21"/>
      <c r="I118" s="21"/>
      <c r="J118" s="21"/>
      <c r="K118" s="21"/>
      <c r="L118" s="22"/>
    </row>
  </sheetData>
  <sheetProtection algorithmName="SHA-512" hashValue="Y6bRapg76JjFb+3b+LJrE6tu8+jN7+bOl09ftEBHYWEytckdJvOviLEJvTL7koEvUAhaWOdcpR7WeWEd83uOYQ==" saltValue="tx1u1gWRzafvF8mBxiIMtw==" spinCount="100000" sheet="1" objects="1" scenarios="1" insertRows="0"/>
  <pageMargins left="0.25" right="0.25" top="0.75" bottom="0.75" header="0.3" footer="0.3"/>
  <pageSetup scale="75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1557A-29F3-4BB6-8609-450896E45E7E}">
  <sheetPr>
    <pageSetUpPr fitToPage="1"/>
  </sheetPr>
  <dimension ref="A1:L109"/>
  <sheetViews>
    <sheetView zoomScaleNormal="100" workbookViewId="0">
      <selection activeCell="H89" sqref="H89"/>
    </sheetView>
  </sheetViews>
  <sheetFormatPr defaultRowHeight="15" x14ac:dyDescent="0.25"/>
  <cols>
    <col min="2" max="2" width="35" style="7" bestFit="1" customWidth="1"/>
    <col min="3" max="3" width="13.140625" style="12" bestFit="1" customWidth="1"/>
    <col min="4" max="4" width="14.85546875" style="12" bestFit="1" customWidth="1"/>
    <col min="5" max="5" width="13.85546875" style="12" bestFit="1" customWidth="1"/>
    <col min="6" max="6" width="14" style="12" bestFit="1" customWidth="1"/>
    <col min="7" max="7" width="12.7109375" style="12" bestFit="1" customWidth="1"/>
    <col min="8" max="8" width="13.140625" style="11" bestFit="1" customWidth="1"/>
    <col min="9" max="9" width="10.7109375" style="11" customWidth="1"/>
    <col min="10" max="10" width="13.140625" style="11" bestFit="1" customWidth="1"/>
    <col min="11" max="11" width="14.5703125" style="11" bestFit="1" customWidth="1"/>
    <col min="12" max="12" width="14" style="12" bestFit="1" customWidth="1"/>
  </cols>
  <sheetData>
    <row r="1" spans="1:12" x14ac:dyDescent="0.25">
      <c r="A1" t="s">
        <v>3721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3724</v>
      </c>
    </row>
    <row r="11" spans="1:12" x14ac:dyDescent="0.25">
      <c r="A11" t="s">
        <v>441</v>
      </c>
    </row>
    <row r="12" spans="1:12" x14ac:dyDescent="0.25">
      <c r="A12" t="s">
        <v>18</v>
      </c>
      <c r="B12" s="7" t="s">
        <v>228</v>
      </c>
      <c r="C12" s="22"/>
      <c r="D12" s="22"/>
      <c r="E12" s="22"/>
      <c r="F12" s="22"/>
      <c r="G12" s="22"/>
      <c r="H12" s="21"/>
      <c r="I12" s="21"/>
      <c r="J12" s="21"/>
      <c r="K12" s="21"/>
      <c r="L12" s="22"/>
    </row>
    <row r="13" spans="1:12" x14ac:dyDescent="0.25">
      <c r="A13" t="s">
        <v>1192</v>
      </c>
      <c r="B13" s="7" t="s">
        <v>569</v>
      </c>
      <c r="C13" s="22">
        <v>-9213</v>
      </c>
      <c r="D13" s="22">
        <v>2391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1193</v>
      </c>
      <c r="B14" s="7" t="s">
        <v>396</v>
      </c>
      <c r="C14" s="22">
        <v>72</v>
      </c>
      <c r="D14" s="22">
        <v>86</v>
      </c>
      <c r="E14" s="22">
        <v>650</v>
      </c>
      <c r="F14" s="22">
        <v>2016</v>
      </c>
      <c r="G14" s="22">
        <v>499.39</v>
      </c>
      <c r="H14" s="21">
        <v>575</v>
      </c>
      <c r="I14" s="21"/>
      <c r="J14" s="21">
        <v>504</v>
      </c>
      <c r="K14" s="21">
        <v>0</v>
      </c>
      <c r="L14" s="22">
        <f t="shared" ref="L14:L33" si="0">SUM(J14+K14)</f>
        <v>504</v>
      </c>
    </row>
    <row r="15" spans="1:12" x14ac:dyDescent="0.25">
      <c r="A15" t="s">
        <v>1194</v>
      </c>
      <c r="B15" s="7" t="s">
        <v>398</v>
      </c>
      <c r="C15" s="22">
        <v>14647</v>
      </c>
      <c r="D15" s="22">
        <v>20978</v>
      </c>
      <c r="E15" s="22">
        <v>18246</v>
      </c>
      <c r="F15" s="22">
        <v>26756</v>
      </c>
      <c r="G15" s="22">
        <v>20185.150000000001</v>
      </c>
      <c r="H15" s="21">
        <v>25250</v>
      </c>
      <c r="I15" s="21"/>
      <c r="J15" s="21">
        <v>27591.38</v>
      </c>
      <c r="K15" s="21">
        <v>0</v>
      </c>
      <c r="L15" s="22">
        <f t="shared" si="0"/>
        <v>27591.38</v>
      </c>
    </row>
    <row r="16" spans="1:12" x14ac:dyDescent="0.25">
      <c r="A16" t="s">
        <v>1195</v>
      </c>
      <c r="B16" s="7" t="s">
        <v>400</v>
      </c>
      <c r="C16" s="22">
        <v>14556</v>
      </c>
      <c r="D16" s="22">
        <v>21120</v>
      </c>
      <c r="E16" s="22">
        <v>21470</v>
      </c>
      <c r="F16" s="22">
        <v>33191</v>
      </c>
      <c r="G16" s="22">
        <v>19880.22</v>
      </c>
      <c r="H16" s="21">
        <v>23750</v>
      </c>
      <c r="I16" s="21"/>
      <c r="J16" s="21">
        <f>8295.84+24456.33</f>
        <v>32752.170000000002</v>
      </c>
      <c r="K16" s="21">
        <v>0</v>
      </c>
      <c r="L16" s="22">
        <f t="shared" si="0"/>
        <v>32752.170000000002</v>
      </c>
    </row>
    <row r="17" spans="1:12" x14ac:dyDescent="0.25">
      <c r="A17" t="s">
        <v>1196</v>
      </c>
      <c r="B17" s="7" t="s">
        <v>574</v>
      </c>
      <c r="C17" s="22">
        <v>45604</v>
      </c>
      <c r="D17" s="22">
        <v>51782</v>
      </c>
      <c r="E17" s="22">
        <v>66573</v>
      </c>
      <c r="F17" s="22">
        <v>106884</v>
      </c>
      <c r="G17" s="22">
        <v>64892.57</v>
      </c>
      <c r="H17" s="21">
        <v>71000</v>
      </c>
      <c r="I17" s="21"/>
      <c r="J17" s="21">
        <v>75578.039999999994</v>
      </c>
      <c r="K17" s="21">
        <v>0</v>
      </c>
      <c r="L17" s="22">
        <f t="shared" si="0"/>
        <v>75578.039999999994</v>
      </c>
    </row>
    <row r="18" spans="1:12" x14ac:dyDescent="0.25">
      <c r="A18" t="s">
        <v>1197</v>
      </c>
      <c r="B18" s="7" t="s">
        <v>404</v>
      </c>
      <c r="C18" s="22">
        <v>2655</v>
      </c>
      <c r="D18" s="22">
        <v>3354</v>
      </c>
      <c r="E18" s="22">
        <v>3456</v>
      </c>
      <c r="F18" s="22">
        <v>5232</v>
      </c>
      <c r="G18" s="22">
        <v>3407.04</v>
      </c>
      <c r="H18" s="21">
        <v>3750</v>
      </c>
      <c r="I18" s="21"/>
      <c r="J18" s="21">
        <v>5760</v>
      </c>
      <c r="K18" s="21">
        <v>0</v>
      </c>
      <c r="L18" s="22">
        <f t="shared" si="0"/>
        <v>5760</v>
      </c>
    </row>
    <row r="19" spans="1:12" x14ac:dyDescent="0.25">
      <c r="A19" t="s">
        <v>1198</v>
      </c>
      <c r="B19" s="7" t="s">
        <v>406</v>
      </c>
      <c r="C19" s="22">
        <v>6882</v>
      </c>
      <c r="D19" s="22">
        <v>5777</v>
      </c>
      <c r="E19" s="22">
        <v>7408</v>
      </c>
      <c r="F19" s="22">
        <v>8149</v>
      </c>
      <c r="G19" s="22">
        <v>7578.27</v>
      </c>
      <c r="H19" s="21">
        <v>7578.27</v>
      </c>
      <c r="I19" s="21"/>
      <c r="J19" s="21">
        <f>G19*10%+G19</f>
        <v>8336.0969999999998</v>
      </c>
      <c r="K19" s="21">
        <v>0</v>
      </c>
      <c r="L19" s="22">
        <f t="shared" si="0"/>
        <v>8336.0969999999998</v>
      </c>
    </row>
    <row r="20" spans="1:12" x14ac:dyDescent="0.25">
      <c r="A20" t="s">
        <v>1199</v>
      </c>
      <c r="B20" s="7" t="s">
        <v>1852</v>
      </c>
      <c r="C20" s="22">
        <v>31979</v>
      </c>
      <c r="D20" s="22">
        <v>36446</v>
      </c>
      <c r="E20" s="22">
        <v>40555</v>
      </c>
      <c r="F20" s="22">
        <v>42588</v>
      </c>
      <c r="G20" s="22">
        <v>37731.199999999997</v>
      </c>
      <c r="H20" s="21">
        <v>43500</v>
      </c>
      <c r="I20" s="21"/>
      <c r="J20" s="21">
        <v>42598.400000000001</v>
      </c>
      <c r="K20" s="21">
        <v>0</v>
      </c>
      <c r="L20" s="22">
        <f t="shared" si="0"/>
        <v>42598.400000000001</v>
      </c>
    </row>
    <row r="21" spans="1:12" x14ac:dyDescent="0.25">
      <c r="A21" t="s">
        <v>1853</v>
      </c>
      <c r="B21" s="7" t="s">
        <v>1854</v>
      </c>
      <c r="C21" s="22">
        <v>0</v>
      </c>
      <c r="D21" s="22">
        <v>78606</v>
      </c>
      <c r="E21" s="22">
        <v>48571</v>
      </c>
      <c r="F21" s="22">
        <v>75574</v>
      </c>
      <c r="G21" s="22">
        <v>66576.36</v>
      </c>
      <c r="H21" s="21">
        <v>76250</v>
      </c>
      <c r="I21" s="21"/>
      <c r="J21" s="21">
        <v>75573.16</v>
      </c>
      <c r="K21" s="21">
        <v>0</v>
      </c>
      <c r="L21" s="22">
        <f t="shared" si="0"/>
        <v>75573.16</v>
      </c>
    </row>
    <row r="22" spans="1:12" x14ac:dyDescent="0.25">
      <c r="A22" t="s">
        <v>1855</v>
      </c>
      <c r="B22" s="7" t="s">
        <v>1856</v>
      </c>
      <c r="C22" s="22">
        <v>85203</v>
      </c>
      <c r="D22" s="22">
        <v>141651</v>
      </c>
      <c r="E22" s="22">
        <v>141792</v>
      </c>
      <c r="F22" s="22">
        <v>232818</v>
      </c>
      <c r="G22" s="22">
        <v>157873.34</v>
      </c>
      <c r="H22" s="21">
        <v>184500</v>
      </c>
      <c r="I22" s="21"/>
      <c r="J22" s="21">
        <v>229060</v>
      </c>
      <c r="K22" s="21">
        <v>0</v>
      </c>
      <c r="L22" s="22">
        <f t="shared" si="0"/>
        <v>229060</v>
      </c>
    </row>
    <row r="23" spans="1:12" hidden="1" x14ac:dyDescent="0.25">
      <c r="A23" t="s">
        <v>1857</v>
      </c>
      <c r="B23" s="7" t="s">
        <v>1858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1">
        <v>0</v>
      </c>
      <c r="I23" s="21"/>
      <c r="J23" s="21">
        <v>0</v>
      </c>
      <c r="K23" s="21">
        <v>0</v>
      </c>
      <c r="L23" s="22">
        <f t="shared" si="0"/>
        <v>0</v>
      </c>
    </row>
    <row r="24" spans="1:12" x14ac:dyDescent="0.25">
      <c r="A24" t="s">
        <v>1859</v>
      </c>
      <c r="B24" s="7" t="s">
        <v>1860</v>
      </c>
      <c r="C24" s="22">
        <v>24523</v>
      </c>
      <c r="D24" s="22">
        <v>0</v>
      </c>
      <c r="E24" s="22">
        <v>0</v>
      </c>
      <c r="F24" s="22">
        <v>0</v>
      </c>
      <c r="G24" s="22">
        <v>0</v>
      </c>
      <c r="H24" s="21">
        <v>0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1201</v>
      </c>
      <c r="B25" s="7" t="s">
        <v>424</v>
      </c>
      <c r="C25" s="22">
        <v>1003</v>
      </c>
      <c r="D25" s="22">
        <v>484</v>
      </c>
      <c r="E25" s="22">
        <v>311</v>
      </c>
      <c r="F25" s="22">
        <v>646</v>
      </c>
      <c r="G25" s="22">
        <v>519.04</v>
      </c>
      <c r="H25" s="21">
        <v>519</v>
      </c>
      <c r="I25" s="21"/>
      <c r="J25" s="21">
        <v>761.25</v>
      </c>
      <c r="K25" s="21">
        <v>0</v>
      </c>
      <c r="L25" s="22">
        <f t="shared" si="0"/>
        <v>761.25</v>
      </c>
    </row>
    <row r="26" spans="1:12" x14ac:dyDescent="0.25">
      <c r="A26" t="s">
        <v>1202</v>
      </c>
      <c r="B26" s="7" t="s">
        <v>426</v>
      </c>
      <c r="C26" s="22">
        <v>1620</v>
      </c>
      <c r="D26" s="22">
        <v>1620</v>
      </c>
      <c r="E26" s="22">
        <v>1215</v>
      </c>
      <c r="F26" s="22">
        <v>3239</v>
      </c>
      <c r="G26" s="22">
        <v>2491.3200000000002</v>
      </c>
      <c r="H26" s="21">
        <v>2491</v>
      </c>
      <c r="I26" s="21"/>
      <c r="J26" s="21">
        <v>3239.28</v>
      </c>
      <c r="K26" s="21">
        <v>0</v>
      </c>
      <c r="L26" s="22">
        <f t="shared" si="0"/>
        <v>3239.28</v>
      </c>
    </row>
    <row r="27" spans="1:12" x14ac:dyDescent="0.25">
      <c r="A27" t="s">
        <v>1203</v>
      </c>
      <c r="B27" s="7" t="s">
        <v>598</v>
      </c>
      <c r="C27" s="22">
        <v>900</v>
      </c>
      <c r="D27" s="22">
        <v>1080</v>
      </c>
      <c r="E27" s="22">
        <v>1080</v>
      </c>
      <c r="F27" s="22">
        <v>1440</v>
      </c>
      <c r="G27" s="22">
        <v>1079.7</v>
      </c>
      <c r="H27" s="21">
        <v>1080</v>
      </c>
      <c r="I27" s="21"/>
      <c r="J27" s="21">
        <v>1439.6</v>
      </c>
      <c r="K27" s="21">
        <v>0</v>
      </c>
      <c r="L27" s="22">
        <f t="shared" si="0"/>
        <v>1439.6</v>
      </c>
    </row>
    <row r="28" spans="1:12" x14ac:dyDescent="0.25">
      <c r="A28" t="s">
        <v>1205</v>
      </c>
      <c r="B28" s="7" t="s">
        <v>428</v>
      </c>
      <c r="C28" s="22">
        <v>415</v>
      </c>
      <c r="D28" s="22">
        <v>277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1206</v>
      </c>
      <c r="B29" s="7" t="s">
        <v>430</v>
      </c>
      <c r="C29" s="22">
        <v>173</v>
      </c>
      <c r="D29" s="22">
        <v>208</v>
      </c>
      <c r="E29" s="22">
        <v>173</v>
      </c>
      <c r="F29" s="22">
        <v>277</v>
      </c>
      <c r="G29" s="22">
        <v>207.6</v>
      </c>
      <c r="H29" s="21">
        <v>208</v>
      </c>
      <c r="I29" s="21"/>
      <c r="J29" s="21">
        <v>0</v>
      </c>
      <c r="K29" s="21">
        <v>0</v>
      </c>
      <c r="L29" s="22">
        <f t="shared" si="0"/>
        <v>0</v>
      </c>
    </row>
    <row r="30" spans="1:12" x14ac:dyDescent="0.25">
      <c r="A30" t="s">
        <v>1207</v>
      </c>
      <c r="B30" s="7" t="s">
        <v>432</v>
      </c>
      <c r="C30" s="22">
        <v>5468</v>
      </c>
      <c r="D30" s="22">
        <v>14120</v>
      </c>
      <c r="E30" s="22">
        <v>7478</v>
      </c>
      <c r="F30" s="22">
        <v>8000</v>
      </c>
      <c r="G30" s="22">
        <v>3418.68</v>
      </c>
      <c r="H30" s="21">
        <v>4900</v>
      </c>
      <c r="I30" s="21"/>
      <c r="J30" s="21">
        <v>8000</v>
      </c>
      <c r="K30" s="21">
        <v>0</v>
      </c>
      <c r="L30" s="22">
        <f t="shared" si="0"/>
        <v>8000</v>
      </c>
    </row>
    <row r="31" spans="1:12" x14ac:dyDescent="0.25">
      <c r="A31" t="s">
        <v>1861</v>
      </c>
      <c r="B31" s="7" t="s">
        <v>434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1">
        <v>0</v>
      </c>
      <c r="I31" s="21"/>
      <c r="J31" s="21">
        <v>0</v>
      </c>
      <c r="K31" s="21">
        <v>0</v>
      </c>
      <c r="L31" s="22">
        <f t="shared" si="0"/>
        <v>0</v>
      </c>
    </row>
    <row r="32" spans="1:12" x14ac:dyDescent="0.25">
      <c r="A32" t="s">
        <v>1218</v>
      </c>
      <c r="B32" s="7" t="s">
        <v>436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1">
        <v>0</v>
      </c>
      <c r="I32" s="21"/>
      <c r="J32" s="21">
        <v>0</v>
      </c>
      <c r="K32" s="21">
        <v>0</v>
      </c>
      <c r="L32" s="22">
        <f t="shared" si="0"/>
        <v>0</v>
      </c>
    </row>
    <row r="33" spans="1:12" x14ac:dyDescent="0.25">
      <c r="A33" t="s">
        <v>1219</v>
      </c>
      <c r="B33" s="7" t="s">
        <v>607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1">
        <v>0</v>
      </c>
      <c r="I33" s="21"/>
      <c r="J33" s="21">
        <v>0</v>
      </c>
      <c r="K33" s="21">
        <v>0</v>
      </c>
      <c r="L33" s="22">
        <f t="shared" si="0"/>
        <v>0</v>
      </c>
    </row>
    <row r="34" spans="1:12" x14ac:dyDescent="0.25">
      <c r="C34" s="22"/>
      <c r="D34" s="22"/>
      <c r="E34" s="22"/>
      <c r="F34" s="22"/>
      <c r="G34" s="22"/>
      <c r="H34" s="21"/>
      <c r="I34" s="21"/>
      <c r="J34" s="21"/>
      <c r="K34" s="21"/>
      <c r="L34" s="22"/>
    </row>
    <row r="35" spans="1:12" x14ac:dyDescent="0.25">
      <c r="C35" s="22"/>
      <c r="D35" s="22"/>
      <c r="E35" s="22"/>
      <c r="F35" s="22"/>
      <c r="G35" s="22"/>
      <c r="H35" s="21"/>
      <c r="I35" s="21"/>
      <c r="J35" s="21"/>
      <c r="K35" s="21"/>
      <c r="L35" s="22"/>
    </row>
    <row r="36" spans="1:12" x14ac:dyDescent="0.25">
      <c r="A36" t="s">
        <v>109</v>
      </c>
      <c r="C36" s="22"/>
      <c r="D36" s="22"/>
      <c r="E36" s="22"/>
      <c r="F36" s="22"/>
      <c r="G36" s="22"/>
      <c r="H36" s="21"/>
      <c r="I36" s="21"/>
      <c r="J36" s="21"/>
      <c r="K36" s="21"/>
      <c r="L36" s="22"/>
    </row>
    <row r="37" spans="1:12" x14ac:dyDescent="0.25">
      <c r="B37" t="s">
        <v>441</v>
      </c>
      <c r="C37" s="20">
        <f t="shared" ref="C37:H37" si="1">SUM(C13:C33)</f>
        <v>226487</v>
      </c>
      <c r="D37" s="20">
        <f t="shared" si="1"/>
        <v>379980</v>
      </c>
      <c r="E37" s="20">
        <f t="shared" si="1"/>
        <v>358978</v>
      </c>
      <c r="F37" s="20">
        <f t="shared" si="1"/>
        <v>546810</v>
      </c>
      <c r="G37" s="20">
        <f t="shared" si="1"/>
        <v>386339.88</v>
      </c>
      <c r="H37" s="20">
        <f t="shared" si="1"/>
        <v>445351.27</v>
      </c>
      <c r="I37" s="20"/>
      <c r="J37" s="20">
        <f>SUM(J13:J33)</f>
        <v>511193.37699999998</v>
      </c>
      <c r="K37" s="20">
        <f>SUM(K13:K33)</f>
        <v>0</v>
      </c>
      <c r="L37" s="20">
        <f>SUM(L13:L33)</f>
        <v>511193.37699999998</v>
      </c>
    </row>
    <row r="38" spans="1:12" x14ac:dyDescent="0.25">
      <c r="C38" s="22"/>
      <c r="D38" s="22"/>
      <c r="E38" s="22"/>
      <c r="F38" s="22"/>
      <c r="G38" s="22"/>
      <c r="H38" s="21"/>
      <c r="I38" s="21"/>
      <c r="J38" s="21"/>
      <c r="K38" s="21"/>
      <c r="L38" s="22"/>
    </row>
    <row r="39" spans="1:12" x14ac:dyDescent="0.25">
      <c r="A39" t="s">
        <v>478</v>
      </c>
      <c r="C39" s="22"/>
      <c r="D39" s="22"/>
      <c r="E39" s="22"/>
      <c r="F39" s="22"/>
      <c r="G39" s="22"/>
      <c r="H39" s="21"/>
      <c r="I39" s="21"/>
      <c r="J39" s="21"/>
      <c r="K39" s="21"/>
      <c r="L39" s="22"/>
    </row>
    <row r="40" spans="1:12" x14ac:dyDescent="0.25">
      <c r="A40" t="s">
        <v>18</v>
      </c>
      <c r="B40" s="7" t="s">
        <v>21</v>
      </c>
      <c r="C40" s="22"/>
      <c r="D40" s="22"/>
      <c r="E40" s="22"/>
      <c r="F40" s="22"/>
      <c r="G40" s="22"/>
      <c r="H40" s="21"/>
      <c r="I40" s="21"/>
      <c r="J40" s="21"/>
      <c r="K40" s="21"/>
      <c r="L40" s="22"/>
    </row>
    <row r="41" spans="1:12" x14ac:dyDescent="0.25">
      <c r="A41" t="s">
        <v>1222</v>
      </c>
      <c r="B41" s="7" t="s">
        <v>445</v>
      </c>
      <c r="C41" s="22">
        <v>6134</v>
      </c>
      <c r="D41" s="22">
        <v>5483</v>
      </c>
      <c r="E41" s="22">
        <v>1775</v>
      </c>
      <c r="F41" s="22">
        <v>1953</v>
      </c>
      <c r="G41" s="22">
        <v>6400.11</v>
      </c>
      <c r="H41" s="21">
        <v>6400</v>
      </c>
      <c r="I41" s="21"/>
      <c r="J41" s="21">
        <f>G41*10%+G41</f>
        <v>7040.1209999999992</v>
      </c>
      <c r="K41" s="21">
        <v>0</v>
      </c>
      <c r="L41" s="22">
        <f>SUM(J41+K41)</f>
        <v>7040.1209999999992</v>
      </c>
    </row>
    <row r="42" spans="1:12" x14ac:dyDescent="0.25">
      <c r="A42" t="s">
        <v>1225</v>
      </c>
      <c r="B42" s="7" t="s">
        <v>447</v>
      </c>
      <c r="C42" s="22">
        <v>4557</v>
      </c>
      <c r="D42" s="22">
        <v>1925</v>
      </c>
      <c r="E42" s="22">
        <v>1149</v>
      </c>
      <c r="F42" s="22">
        <v>5000</v>
      </c>
      <c r="G42" s="22">
        <v>2512.27</v>
      </c>
      <c r="H42" s="21">
        <v>2700</v>
      </c>
      <c r="I42" s="21"/>
      <c r="J42" s="21">
        <v>2500</v>
      </c>
      <c r="K42" s="21">
        <v>0</v>
      </c>
      <c r="L42" s="22">
        <f t="shared" ref="L42:L59" si="2">SUM(J42+K42)</f>
        <v>2500</v>
      </c>
    </row>
    <row r="43" spans="1:12" x14ac:dyDescent="0.25">
      <c r="A43" t="s">
        <v>1226</v>
      </c>
      <c r="B43" s="7" t="s">
        <v>449</v>
      </c>
      <c r="C43" s="22">
        <v>0</v>
      </c>
      <c r="D43" s="22">
        <v>0</v>
      </c>
      <c r="E43" s="22">
        <v>662</v>
      </c>
      <c r="F43" s="22">
        <v>1500</v>
      </c>
      <c r="G43" s="22">
        <v>0</v>
      </c>
      <c r="H43" s="21">
        <v>0</v>
      </c>
      <c r="I43" s="21"/>
      <c r="J43" s="21">
        <v>1000</v>
      </c>
      <c r="K43" s="21">
        <v>0</v>
      </c>
      <c r="L43" s="22">
        <f t="shared" si="2"/>
        <v>1000</v>
      </c>
    </row>
    <row r="44" spans="1:12" x14ac:dyDescent="0.25">
      <c r="A44" t="s">
        <v>1227</v>
      </c>
      <c r="B44" s="7" t="s">
        <v>451</v>
      </c>
      <c r="C44" s="22">
        <v>851</v>
      </c>
      <c r="D44" s="22">
        <v>100</v>
      </c>
      <c r="E44" s="22">
        <v>1113</v>
      </c>
      <c r="F44" s="22">
        <v>2000</v>
      </c>
      <c r="G44" s="22">
        <v>177.84</v>
      </c>
      <c r="H44" s="21">
        <v>178</v>
      </c>
      <c r="I44" s="21"/>
      <c r="J44" s="21">
        <v>1000</v>
      </c>
      <c r="K44" s="21">
        <v>0</v>
      </c>
      <c r="L44" s="22">
        <f t="shared" si="2"/>
        <v>1000</v>
      </c>
    </row>
    <row r="45" spans="1:12" hidden="1" x14ac:dyDescent="0.25">
      <c r="A45" t="s">
        <v>1862</v>
      </c>
      <c r="B45" s="7" t="s">
        <v>453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1">
        <v>0</v>
      </c>
      <c r="I45" s="21"/>
      <c r="J45" s="21">
        <v>0</v>
      </c>
      <c r="K45" s="21">
        <v>0</v>
      </c>
      <c r="L45" s="22">
        <f t="shared" si="2"/>
        <v>0</v>
      </c>
    </row>
    <row r="46" spans="1:12" x14ac:dyDescent="0.25">
      <c r="A46" t="s">
        <v>1228</v>
      </c>
      <c r="B46" s="7" t="s">
        <v>457</v>
      </c>
      <c r="C46" s="22">
        <v>0</v>
      </c>
      <c r="D46" s="22">
        <v>465</v>
      </c>
      <c r="E46" s="22">
        <v>465</v>
      </c>
      <c r="F46" s="22">
        <v>1500</v>
      </c>
      <c r="G46" s="22">
        <v>0</v>
      </c>
      <c r="H46" s="21">
        <v>0</v>
      </c>
      <c r="I46" s="21"/>
      <c r="J46" s="21">
        <v>1000</v>
      </c>
      <c r="K46" s="21">
        <v>0</v>
      </c>
      <c r="L46" s="22">
        <f t="shared" si="2"/>
        <v>1000</v>
      </c>
    </row>
    <row r="47" spans="1:12" x14ac:dyDescent="0.25">
      <c r="A47" t="s">
        <v>1231</v>
      </c>
      <c r="B47" s="7" t="s">
        <v>465</v>
      </c>
      <c r="C47" s="22">
        <v>0</v>
      </c>
      <c r="D47" s="22">
        <v>2305</v>
      </c>
      <c r="E47" s="22">
        <v>87476</v>
      </c>
      <c r="F47" s="22">
        <v>161584</v>
      </c>
      <c r="G47" s="22">
        <v>78310.38</v>
      </c>
      <c r="H47" s="21">
        <v>87000</v>
      </c>
      <c r="I47" s="21"/>
      <c r="J47" s="21">
        <v>71678</v>
      </c>
      <c r="K47" s="21">
        <v>75000</v>
      </c>
      <c r="L47" s="22">
        <f t="shared" si="2"/>
        <v>146678</v>
      </c>
    </row>
    <row r="48" spans="1:12" x14ac:dyDescent="0.25">
      <c r="B48" s="7" t="s">
        <v>3725</v>
      </c>
      <c r="C48" s="22"/>
      <c r="D48" s="22"/>
      <c r="E48" s="22"/>
      <c r="F48" s="22"/>
      <c r="G48" s="22"/>
      <c r="H48" s="21"/>
      <c r="I48" s="21"/>
      <c r="J48" s="21"/>
      <c r="K48" s="21"/>
      <c r="L48" s="22"/>
    </row>
    <row r="49" spans="1:12" x14ac:dyDescent="0.25">
      <c r="A49" t="s">
        <v>1233</v>
      </c>
      <c r="B49" s="7" t="s">
        <v>471</v>
      </c>
      <c r="C49" s="22">
        <v>979</v>
      </c>
      <c r="D49" s="22">
        <v>1493</v>
      </c>
      <c r="E49" s="22">
        <v>1547</v>
      </c>
      <c r="F49" s="22">
        <v>1600</v>
      </c>
      <c r="G49" s="22">
        <v>995.17</v>
      </c>
      <c r="H49" s="21">
        <v>1250</v>
      </c>
      <c r="I49" s="21"/>
      <c r="J49" s="21">
        <v>1600</v>
      </c>
      <c r="K49" s="21">
        <v>0</v>
      </c>
      <c r="L49" s="22">
        <f t="shared" si="2"/>
        <v>1600</v>
      </c>
    </row>
    <row r="50" spans="1:12" x14ac:dyDescent="0.25">
      <c r="A50" t="s">
        <v>1234</v>
      </c>
      <c r="B50" s="7" t="s">
        <v>1047</v>
      </c>
      <c r="C50" s="22">
        <v>5265</v>
      </c>
      <c r="D50" s="22">
        <v>5451</v>
      </c>
      <c r="E50" s="22">
        <v>4745</v>
      </c>
      <c r="F50" s="22">
        <v>8000</v>
      </c>
      <c r="G50" s="22">
        <v>3811.64</v>
      </c>
      <c r="H50" s="21">
        <v>4700</v>
      </c>
      <c r="I50" s="21"/>
      <c r="J50" s="21">
        <v>5000</v>
      </c>
      <c r="K50" s="21">
        <v>0</v>
      </c>
      <c r="L50" s="22">
        <f t="shared" si="2"/>
        <v>5000</v>
      </c>
    </row>
    <row r="51" spans="1:12" x14ac:dyDescent="0.25">
      <c r="A51" t="s">
        <v>1235</v>
      </c>
      <c r="B51" s="7" t="s">
        <v>1863</v>
      </c>
      <c r="C51" s="22">
        <v>2283</v>
      </c>
      <c r="D51" s="22">
        <v>2581</v>
      </c>
      <c r="E51" s="22">
        <v>1884</v>
      </c>
      <c r="F51" s="22">
        <v>6500</v>
      </c>
      <c r="G51" s="22">
        <v>2590.52</v>
      </c>
      <c r="H51" s="21">
        <v>2800</v>
      </c>
      <c r="I51" s="21"/>
      <c r="J51" s="21">
        <v>3500</v>
      </c>
      <c r="K51" s="21">
        <v>0</v>
      </c>
      <c r="L51" s="22">
        <f t="shared" si="2"/>
        <v>3500</v>
      </c>
    </row>
    <row r="52" spans="1:12" x14ac:dyDescent="0.25">
      <c r="A52" t="s">
        <v>1864</v>
      </c>
      <c r="B52" s="7" t="s">
        <v>1865</v>
      </c>
      <c r="C52" s="22">
        <v>1134</v>
      </c>
      <c r="D52" s="22">
        <v>923</v>
      </c>
      <c r="E52" s="22">
        <v>695</v>
      </c>
      <c r="F52" s="22">
        <v>3000</v>
      </c>
      <c r="G52" s="22">
        <v>1997.56</v>
      </c>
      <c r="H52" s="21">
        <v>2200</v>
      </c>
      <c r="I52" s="21"/>
      <c r="J52" s="21">
        <v>2000</v>
      </c>
      <c r="K52" s="21">
        <v>0</v>
      </c>
      <c r="L52" s="22">
        <f t="shared" si="2"/>
        <v>2000</v>
      </c>
    </row>
    <row r="53" spans="1:12" x14ac:dyDescent="0.25">
      <c r="A53" t="s">
        <v>1866</v>
      </c>
      <c r="B53" s="7" t="s">
        <v>1867</v>
      </c>
      <c r="C53" s="22">
        <v>0</v>
      </c>
      <c r="D53" s="22">
        <v>9556</v>
      </c>
      <c r="E53" s="22">
        <v>152</v>
      </c>
      <c r="F53" s="22">
        <v>3000</v>
      </c>
      <c r="G53" s="22">
        <v>0</v>
      </c>
      <c r="H53" s="21">
        <v>3000</v>
      </c>
      <c r="I53" s="21"/>
      <c r="J53" s="21">
        <v>2500</v>
      </c>
      <c r="K53" s="21">
        <v>0</v>
      </c>
      <c r="L53" s="22">
        <f t="shared" si="2"/>
        <v>2500</v>
      </c>
    </row>
    <row r="54" spans="1:12" x14ac:dyDescent="0.25">
      <c r="A54" t="s">
        <v>1237</v>
      </c>
      <c r="B54" s="7" t="s">
        <v>1868</v>
      </c>
      <c r="C54" s="22">
        <v>34412</v>
      </c>
      <c r="D54" s="22">
        <v>39051</v>
      </c>
      <c r="E54" s="22">
        <v>17240</v>
      </c>
      <c r="F54" s="22">
        <v>20000</v>
      </c>
      <c r="G54" s="22">
        <v>30930.13</v>
      </c>
      <c r="H54" s="21">
        <v>35000</v>
      </c>
      <c r="I54" s="21"/>
      <c r="J54" s="21">
        <v>25000</v>
      </c>
      <c r="K54" s="21">
        <v>0</v>
      </c>
      <c r="L54" s="22">
        <f t="shared" si="2"/>
        <v>25000</v>
      </c>
    </row>
    <row r="55" spans="1:12" x14ac:dyDescent="0.25">
      <c r="A55" t="s">
        <v>1869</v>
      </c>
      <c r="B55" s="7" t="s">
        <v>1870</v>
      </c>
      <c r="C55" s="22">
        <v>17402</v>
      </c>
      <c r="D55" s="22">
        <v>15570</v>
      </c>
      <c r="E55" s="22">
        <v>20372</v>
      </c>
      <c r="F55" s="22">
        <v>7500</v>
      </c>
      <c r="G55" s="22">
        <v>7584.68</v>
      </c>
      <c r="H55" s="21">
        <v>7800</v>
      </c>
      <c r="I55" s="21"/>
      <c r="J55" s="21">
        <v>8000</v>
      </c>
      <c r="K55" s="21">
        <v>0</v>
      </c>
      <c r="L55" s="22">
        <f t="shared" si="2"/>
        <v>8000</v>
      </c>
    </row>
    <row r="56" spans="1:12" x14ac:dyDescent="0.25">
      <c r="A56" t="s">
        <v>1238</v>
      </c>
      <c r="B56" s="7" t="s">
        <v>1823</v>
      </c>
      <c r="C56" s="22">
        <v>882</v>
      </c>
      <c r="D56" s="22">
        <v>0</v>
      </c>
      <c r="E56" s="22">
        <v>0</v>
      </c>
      <c r="F56" s="22">
        <v>0</v>
      </c>
      <c r="G56" s="22">
        <v>0</v>
      </c>
      <c r="H56" s="21">
        <v>0</v>
      </c>
      <c r="I56" s="21"/>
      <c r="J56" s="21">
        <v>0</v>
      </c>
      <c r="K56" s="21">
        <v>0</v>
      </c>
      <c r="L56" s="22">
        <f t="shared" si="2"/>
        <v>0</v>
      </c>
    </row>
    <row r="57" spans="1:12" x14ac:dyDescent="0.25">
      <c r="A57" t="s">
        <v>1242</v>
      </c>
      <c r="B57" s="7" t="s">
        <v>626</v>
      </c>
      <c r="C57" s="22">
        <v>6292</v>
      </c>
      <c r="D57" s="22">
        <v>19</v>
      </c>
      <c r="E57" s="22">
        <v>1157</v>
      </c>
      <c r="F57" s="22">
        <v>1500</v>
      </c>
      <c r="G57" s="22">
        <v>3235.35</v>
      </c>
      <c r="H57" s="21">
        <v>3500</v>
      </c>
      <c r="I57" s="21"/>
      <c r="J57" s="21">
        <v>3500</v>
      </c>
      <c r="K57" s="21">
        <v>0</v>
      </c>
      <c r="L57" s="22">
        <f t="shared" si="2"/>
        <v>3500</v>
      </c>
    </row>
    <row r="58" spans="1:12" x14ac:dyDescent="0.25">
      <c r="A58" t="s">
        <v>1247</v>
      </c>
      <c r="B58" s="7" t="s">
        <v>475</v>
      </c>
      <c r="C58" s="22">
        <v>6091</v>
      </c>
      <c r="D58" s="22">
        <v>8800</v>
      </c>
      <c r="E58" s="22">
        <v>1278</v>
      </c>
      <c r="F58" s="22">
        <v>2500</v>
      </c>
      <c r="G58" s="22">
        <v>634.45000000000005</v>
      </c>
      <c r="H58" s="21">
        <v>1500</v>
      </c>
      <c r="I58" s="21"/>
      <c r="J58" s="21">
        <v>2500</v>
      </c>
      <c r="K58" s="21">
        <v>0</v>
      </c>
      <c r="L58" s="22">
        <f t="shared" si="2"/>
        <v>2500</v>
      </c>
    </row>
    <row r="59" spans="1:12" x14ac:dyDescent="0.25">
      <c r="A59" t="s">
        <v>1248</v>
      </c>
      <c r="B59" s="7" t="s">
        <v>477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1">
        <v>0</v>
      </c>
      <c r="I59" s="21"/>
      <c r="J59" s="21">
        <v>0</v>
      </c>
      <c r="K59" s="21">
        <v>0</v>
      </c>
      <c r="L59" s="22">
        <f t="shared" si="2"/>
        <v>0</v>
      </c>
    </row>
    <row r="60" spans="1:12" x14ac:dyDescent="0.25">
      <c r="C60" s="22"/>
      <c r="D60" s="22"/>
      <c r="E60" s="22"/>
      <c r="F60" s="22"/>
      <c r="G60" s="22"/>
      <c r="H60" s="21"/>
      <c r="I60" s="21"/>
      <c r="J60" s="21"/>
      <c r="K60" s="21"/>
      <c r="L60" s="22"/>
    </row>
    <row r="61" spans="1:12" x14ac:dyDescent="0.25">
      <c r="C61" s="22"/>
      <c r="D61" s="22"/>
      <c r="E61" s="22"/>
      <c r="F61" s="22"/>
      <c r="G61" s="22"/>
      <c r="H61" s="21"/>
      <c r="I61" s="21"/>
      <c r="J61" s="21"/>
      <c r="K61" s="21"/>
      <c r="L61" s="22"/>
    </row>
    <row r="62" spans="1:12" x14ac:dyDescent="0.25">
      <c r="A62" t="s">
        <v>109</v>
      </c>
      <c r="C62" s="22"/>
      <c r="D62" s="22"/>
      <c r="E62" s="22"/>
      <c r="F62" s="22"/>
      <c r="G62" s="22"/>
      <c r="H62" s="21"/>
      <c r="I62" s="21"/>
      <c r="J62" s="21"/>
      <c r="K62" s="21"/>
      <c r="L62" s="22"/>
    </row>
    <row r="63" spans="1:12" x14ac:dyDescent="0.25">
      <c r="B63" t="s">
        <v>478</v>
      </c>
      <c r="C63" s="20">
        <f t="shared" ref="C63:H63" si="3">SUM(C41:C59)</f>
        <v>86282</v>
      </c>
      <c r="D63" s="20">
        <f t="shared" si="3"/>
        <v>93722</v>
      </c>
      <c r="E63" s="20">
        <f t="shared" si="3"/>
        <v>141710</v>
      </c>
      <c r="F63" s="20">
        <f t="shared" si="3"/>
        <v>227137</v>
      </c>
      <c r="G63" s="20">
        <f t="shared" si="3"/>
        <v>139180.10000000003</v>
      </c>
      <c r="H63" s="20">
        <f t="shared" si="3"/>
        <v>158028</v>
      </c>
      <c r="I63" s="20"/>
      <c r="J63" s="20">
        <f>SUM(J41:J59)</f>
        <v>137818.12099999998</v>
      </c>
      <c r="K63" s="20">
        <f>SUM(K41:K59)</f>
        <v>75000</v>
      </c>
      <c r="L63" s="20">
        <f>SUM(L41:L59)</f>
        <v>212818.12099999998</v>
      </c>
    </row>
    <row r="64" spans="1:12" x14ac:dyDescent="0.25">
      <c r="A64" t="s">
        <v>110</v>
      </c>
      <c r="C64" s="22"/>
      <c r="D64" s="22"/>
      <c r="E64" s="22"/>
      <c r="F64" s="22"/>
      <c r="G64" s="22"/>
      <c r="H64" s="21"/>
      <c r="I64" s="21"/>
      <c r="J64" s="21"/>
      <c r="K64" s="21"/>
      <c r="L64" s="22"/>
    </row>
    <row r="65" spans="1:12" x14ac:dyDescent="0.25">
      <c r="A65" t="s">
        <v>489</v>
      </c>
      <c r="C65" s="22"/>
      <c r="D65" s="22"/>
      <c r="E65" s="22"/>
      <c r="F65" s="22"/>
      <c r="G65" s="22"/>
      <c r="H65" s="21"/>
      <c r="I65" s="21"/>
      <c r="J65" s="21"/>
      <c r="K65" s="21"/>
      <c r="L65" s="22"/>
    </row>
    <row r="66" spans="1:12" x14ac:dyDescent="0.25">
      <c r="A66" t="s">
        <v>18</v>
      </c>
      <c r="C66" s="22"/>
      <c r="D66" s="22"/>
      <c r="E66" s="22"/>
      <c r="F66" s="22"/>
      <c r="G66" s="22"/>
      <c r="H66" s="21"/>
      <c r="I66" s="21"/>
      <c r="J66" s="21"/>
      <c r="K66" s="21"/>
      <c r="L66" s="22"/>
    </row>
    <row r="67" spans="1:12" x14ac:dyDescent="0.25">
      <c r="A67" t="s">
        <v>1250</v>
      </c>
      <c r="B67" s="7" t="s">
        <v>489</v>
      </c>
      <c r="C67" s="22">
        <v>4293</v>
      </c>
      <c r="D67" s="22">
        <v>23133</v>
      </c>
      <c r="E67" s="22">
        <v>8971</v>
      </c>
      <c r="F67" s="22">
        <v>13000</v>
      </c>
      <c r="G67" s="22">
        <v>9866.94</v>
      </c>
      <c r="H67" s="21">
        <v>11000</v>
      </c>
      <c r="I67" s="21"/>
      <c r="J67" s="21">
        <v>12000</v>
      </c>
      <c r="K67" s="21">
        <v>0</v>
      </c>
      <c r="L67" s="22">
        <f>SUM(J67+K67)</f>
        <v>12000</v>
      </c>
    </row>
    <row r="68" spans="1:12" x14ac:dyDescent="0.25">
      <c r="A68" t="s">
        <v>1251</v>
      </c>
      <c r="B68" s="7" t="s">
        <v>1252</v>
      </c>
      <c r="C68" s="22">
        <v>975</v>
      </c>
      <c r="D68" s="22">
        <v>1744</v>
      </c>
      <c r="E68" s="22">
        <v>590</v>
      </c>
      <c r="F68" s="22">
        <v>2500</v>
      </c>
      <c r="G68" s="22">
        <v>1078.29</v>
      </c>
      <c r="H68" s="21">
        <v>1200</v>
      </c>
      <c r="I68" s="21"/>
      <c r="J68" s="21">
        <v>2000</v>
      </c>
      <c r="K68" s="21">
        <v>0</v>
      </c>
      <c r="L68" s="22">
        <f t="shared" ref="L68:L76" si="4">SUM(J68+K68)</f>
        <v>2000</v>
      </c>
    </row>
    <row r="69" spans="1:12" x14ac:dyDescent="0.25">
      <c r="A69" t="s">
        <v>1253</v>
      </c>
      <c r="B69" s="7" t="s">
        <v>496</v>
      </c>
      <c r="C69" s="22">
        <v>18772</v>
      </c>
      <c r="D69" s="22">
        <v>11623</v>
      </c>
      <c r="E69" s="22">
        <v>11899</v>
      </c>
      <c r="F69" s="22">
        <v>16000</v>
      </c>
      <c r="G69" s="22">
        <v>6947.5</v>
      </c>
      <c r="H69" s="21">
        <v>7600</v>
      </c>
      <c r="I69" s="21"/>
      <c r="J69" s="21">
        <v>11000</v>
      </c>
      <c r="K69" s="21">
        <v>0</v>
      </c>
      <c r="L69" s="22">
        <f t="shared" si="4"/>
        <v>11000</v>
      </c>
    </row>
    <row r="70" spans="1:12" x14ac:dyDescent="0.25">
      <c r="A70" t="s">
        <v>1258</v>
      </c>
      <c r="B70" s="7" t="s">
        <v>1259</v>
      </c>
      <c r="C70" s="22">
        <v>5694</v>
      </c>
      <c r="D70" s="22">
        <v>29394</v>
      </c>
      <c r="E70" s="22">
        <v>20131</v>
      </c>
      <c r="F70" s="22">
        <v>35000</v>
      </c>
      <c r="G70" s="22">
        <v>11304.64</v>
      </c>
      <c r="H70" s="21">
        <v>12500</v>
      </c>
      <c r="I70" s="21"/>
      <c r="J70" s="21">
        <v>15000</v>
      </c>
      <c r="K70" s="21">
        <v>0</v>
      </c>
      <c r="L70" s="22">
        <f t="shared" si="4"/>
        <v>15000</v>
      </c>
    </row>
    <row r="71" spans="1:12" x14ac:dyDescent="0.25">
      <c r="A71" t="s">
        <v>1871</v>
      </c>
      <c r="B71" s="7" t="s">
        <v>1872</v>
      </c>
      <c r="C71" s="22">
        <v>4415</v>
      </c>
      <c r="D71" s="22">
        <v>11194</v>
      </c>
      <c r="E71" s="22">
        <v>17744</v>
      </c>
      <c r="F71" s="22">
        <v>20000</v>
      </c>
      <c r="G71" s="22">
        <v>1026.4000000000001</v>
      </c>
      <c r="H71" s="21">
        <v>1200</v>
      </c>
      <c r="I71" s="21"/>
      <c r="J71" s="21">
        <v>10000</v>
      </c>
      <c r="K71" s="21">
        <v>0</v>
      </c>
      <c r="L71" s="22">
        <f t="shared" si="4"/>
        <v>10000</v>
      </c>
    </row>
    <row r="72" spans="1:12" x14ac:dyDescent="0.25">
      <c r="A72" t="s">
        <v>1873</v>
      </c>
      <c r="B72" s="7" t="s">
        <v>1874</v>
      </c>
      <c r="C72" s="22">
        <v>3304</v>
      </c>
      <c r="D72" s="22">
        <v>11136</v>
      </c>
      <c r="E72" s="22">
        <v>6944</v>
      </c>
      <c r="F72" s="22">
        <v>8000</v>
      </c>
      <c r="G72" s="22">
        <v>5520.6</v>
      </c>
      <c r="H72" s="21">
        <v>7500</v>
      </c>
      <c r="I72" s="21"/>
      <c r="J72" s="21">
        <v>8000</v>
      </c>
      <c r="K72" s="21">
        <v>0</v>
      </c>
      <c r="L72" s="22">
        <f t="shared" si="4"/>
        <v>8000</v>
      </c>
    </row>
    <row r="73" spans="1:12" x14ac:dyDescent="0.25">
      <c r="A73" t="s">
        <v>1875</v>
      </c>
      <c r="B73" s="7" t="s">
        <v>1876</v>
      </c>
      <c r="C73" s="22">
        <v>0</v>
      </c>
      <c r="D73" s="22">
        <v>5250</v>
      </c>
      <c r="E73" s="22">
        <v>9180</v>
      </c>
      <c r="F73" s="22">
        <v>8000</v>
      </c>
      <c r="G73" s="22">
        <v>275.19</v>
      </c>
      <c r="H73" s="21">
        <v>275</v>
      </c>
      <c r="I73" s="21"/>
      <c r="J73" s="21">
        <v>8000</v>
      </c>
      <c r="K73" s="21">
        <v>0</v>
      </c>
      <c r="L73" s="22">
        <f t="shared" si="4"/>
        <v>8000</v>
      </c>
    </row>
    <row r="74" spans="1:12" x14ac:dyDescent="0.25">
      <c r="A74" t="s">
        <v>1877</v>
      </c>
      <c r="B74" s="7" t="s">
        <v>1878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1">
        <v>0</v>
      </c>
      <c r="I74" s="21"/>
      <c r="J74" s="21">
        <v>0</v>
      </c>
      <c r="K74" s="21">
        <v>0</v>
      </c>
      <c r="L74" s="22">
        <f t="shared" si="4"/>
        <v>0</v>
      </c>
    </row>
    <row r="75" spans="1:12" hidden="1" x14ac:dyDescent="0.25">
      <c r="A75" t="s">
        <v>1260</v>
      </c>
      <c r="B75" s="7" t="s">
        <v>498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1">
        <v>0</v>
      </c>
      <c r="I75" s="21"/>
      <c r="J75" s="21">
        <v>0</v>
      </c>
      <c r="K75" s="21">
        <v>0</v>
      </c>
      <c r="L75" s="22">
        <f t="shared" si="4"/>
        <v>0</v>
      </c>
    </row>
    <row r="76" spans="1:12" hidden="1" x14ac:dyDescent="0.25">
      <c r="A76" t="s">
        <v>1261</v>
      </c>
      <c r="B76" s="7" t="s">
        <v>500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1">
        <v>0</v>
      </c>
      <c r="I76" s="21"/>
      <c r="J76" s="21">
        <v>0</v>
      </c>
      <c r="K76" s="21">
        <v>0</v>
      </c>
      <c r="L76" s="22">
        <f t="shared" si="4"/>
        <v>0</v>
      </c>
    </row>
    <row r="77" spans="1:12" x14ac:dyDescent="0.25">
      <c r="C77" s="22"/>
      <c r="D77" s="22"/>
      <c r="E77" s="22"/>
      <c r="F77" s="22"/>
      <c r="G77" s="22"/>
      <c r="H77" s="21"/>
      <c r="I77" s="21"/>
      <c r="J77" s="21"/>
      <c r="K77" s="21"/>
      <c r="L77" s="22"/>
    </row>
    <row r="78" spans="1:12" x14ac:dyDescent="0.25">
      <c r="C78" s="22"/>
      <c r="D78" s="22"/>
      <c r="E78" s="22"/>
      <c r="F78" s="22"/>
      <c r="G78" s="22"/>
      <c r="H78" s="21"/>
      <c r="I78" s="21"/>
      <c r="J78" s="21"/>
      <c r="K78" s="21"/>
      <c r="L78" s="22"/>
    </row>
    <row r="79" spans="1:12" x14ac:dyDescent="0.25">
      <c r="A79" t="s">
        <v>109</v>
      </c>
      <c r="C79" s="22"/>
      <c r="D79" s="22"/>
      <c r="E79" s="22"/>
      <c r="F79" s="22"/>
      <c r="G79" s="22"/>
      <c r="H79" s="21"/>
      <c r="I79" s="21"/>
      <c r="J79" s="21"/>
      <c r="K79" s="21"/>
      <c r="L79" s="22"/>
    </row>
    <row r="80" spans="1:12" x14ac:dyDescent="0.25">
      <c r="B80" t="s">
        <v>489</v>
      </c>
      <c r="C80" s="20">
        <f t="shared" ref="C80:H80" si="5">SUM(C67:C76)</f>
        <v>37453</v>
      </c>
      <c r="D80" s="20">
        <f t="shared" si="5"/>
        <v>93474</v>
      </c>
      <c r="E80" s="20">
        <f t="shared" si="5"/>
        <v>75459</v>
      </c>
      <c r="F80" s="20">
        <f t="shared" si="5"/>
        <v>102500</v>
      </c>
      <c r="G80" s="20">
        <f t="shared" si="5"/>
        <v>36019.560000000005</v>
      </c>
      <c r="H80" s="20">
        <f t="shared" si="5"/>
        <v>41275</v>
      </c>
      <c r="I80" s="20"/>
      <c r="J80" s="20">
        <f>SUM(J67:J76)</f>
        <v>66000</v>
      </c>
      <c r="K80" s="20">
        <f>SUM(K67:K76)</f>
        <v>0</v>
      </c>
      <c r="L80" s="20">
        <f>SUM(L67:L76)</f>
        <v>66000</v>
      </c>
    </row>
    <row r="81" spans="1:12" x14ac:dyDescent="0.25">
      <c r="C81" s="22"/>
      <c r="D81" s="22"/>
      <c r="E81" s="22"/>
      <c r="F81" s="22"/>
      <c r="G81" s="22"/>
      <c r="H81" s="21"/>
      <c r="I81" s="21"/>
      <c r="J81" s="21"/>
      <c r="K81" s="21"/>
      <c r="L81" s="22"/>
    </row>
    <row r="82" spans="1:12" x14ac:dyDescent="0.25">
      <c r="A82" t="s">
        <v>501</v>
      </c>
      <c r="C82" s="22"/>
      <c r="D82" s="22"/>
      <c r="E82" s="22"/>
      <c r="F82" s="22"/>
      <c r="G82" s="22"/>
      <c r="H82" s="21"/>
      <c r="I82" s="21"/>
      <c r="J82" s="21"/>
      <c r="K82" s="21"/>
      <c r="L82" s="22"/>
    </row>
    <row r="83" spans="1:12" x14ac:dyDescent="0.25">
      <c r="A83" t="s">
        <v>18</v>
      </c>
      <c r="C83" s="22"/>
      <c r="D83" s="22"/>
      <c r="E83" s="22"/>
      <c r="F83" s="22"/>
      <c r="G83" s="22"/>
      <c r="H83" s="21"/>
      <c r="I83" s="21"/>
      <c r="J83" s="21"/>
      <c r="K83" s="21"/>
      <c r="L83" s="22"/>
    </row>
    <row r="84" spans="1:12" x14ac:dyDescent="0.25">
      <c r="A84" t="s">
        <v>1263</v>
      </c>
      <c r="B84" s="7" t="s">
        <v>503</v>
      </c>
      <c r="C84" s="22">
        <v>45008</v>
      </c>
      <c r="D84" s="22">
        <v>37550</v>
      </c>
      <c r="E84" s="22">
        <v>10868</v>
      </c>
      <c r="F84" s="22">
        <v>30000</v>
      </c>
      <c r="G84" s="22">
        <v>9423.2000000000007</v>
      </c>
      <c r="H84" s="21">
        <v>12500</v>
      </c>
      <c r="I84" s="21"/>
      <c r="J84" s="21">
        <v>15000</v>
      </c>
      <c r="K84" s="21">
        <v>0</v>
      </c>
      <c r="L84" s="22">
        <f>SUM(J84+K84)</f>
        <v>15000</v>
      </c>
    </row>
    <row r="85" spans="1:12" x14ac:dyDescent="0.25">
      <c r="A85" t="s">
        <v>1266</v>
      </c>
      <c r="B85" s="7" t="s">
        <v>509</v>
      </c>
      <c r="C85" s="22">
        <v>0</v>
      </c>
      <c r="D85" s="22">
        <v>81050</v>
      </c>
      <c r="E85" s="22">
        <v>42399</v>
      </c>
      <c r="F85" s="22">
        <v>5000</v>
      </c>
      <c r="G85" s="22">
        <v>4390</v>
      </c>
      <c r="H85" s="21">
        <v>4800</v>
      </c>
      <c r="I85" s="21"/>
      <c r="J85" s="21">
        <v>5000</v>
      </c>
      <c r="K85" s="21">
        <v>0</v>
      </c>
      <c r="L85" s="22">
        <f t="shared" ref="L85:L89" si="6">SUM(J85+K85)</f>
        <v>5000</v>
      </c>
    </row>
    <row r="86" spans="1:12" hidden="1" x14ac:dyDescent="0.25">
      <c r="A86" t="s">
        <v>1879</v>
      </c>
      <c r="B86" s="7" t="s">
        <v>1880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1">
        <v>0</v>
      </c>
      <c r="I86" s="21"/>
      <c r="J86" s="21">
        <v>0</v>
      </c>
      <c r="K86" s="21">
        <v>0</v>
      </c>
      <c r="L86" s="22">
        <f t="shared" si="6"/>
        <v>0</v>
      </c>
    </row>
    <row r="87" spans="1:12" x14ac:dyDescent="0.25">
      <c r="A87" t="s">
        <v>1267</v>
      </c>
      <c r="B87" s="7" t="s">
        <v>519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1">
        <v>0</v>
      </c>
      <c r="I87" s="21"/>
      <c r="J87" s="21">
        <v>0</v>
      </c>
      <c r="K87" s="21">
        <v>0</v>
      </c>
      <c r="L87" s="22">
        <f t="shared" si="6"/>
        <v>0</v>
      </c>
    </row>
    <row r="88" spans="1:12" x14ac:dyDescent="0.25">
      <c r="A88" t="s">
        <v>1269</v>
      </c>
      <c r="B88" s="7" t="s">
        <v>1085</v>
      </c>
      <c r="C88" s="22">
        <v>461</v>
      </c>
      <c r="D88" s="22">
        <v>2596</v>
      </c>
      <c r="E88" s="22">
        <v>1916</v>
      </c>
      <c r="F88" s="22">
        <v>2500</v>
      </c>
      <c r="G88" s="22">
        <v>1160</v>
      </c>
      <c r="H88" s="21">
        <v>1400</v>
      </c>
      <c r="I88" s="21"/>
      <c r="J88" s="21">
        <v>1000</v>
      </c>
      <c r="K88" s="21">
        <v>0</v>
      </c>
      <c r="L88" s="22">
        <f t="shared" si="6"/>
        <v>1000</v>
      </c>
    </row>
    <row r="89" spans="1:12" x14ac:dyDescent="0.25">
      <c r="A89" t="s">
        <v>1881</v>
      </c>
      <c r="B89" s="7" t="s">
        <v>1882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1">
        <v>0</v>
      </c>
      <c r="I89" s="21"/>
      <c r="J89" s="21">
        <v>0</v>
      </c>
      <c r="K89" s="21">
        <v>0</v>
      </c>
      <c r="L89" s="22">
        <f t="shared" si="6"/>
        <v>0</v>
      </c>
    </row>
    <row r="90" spans="1:12" x14ac:dyDescent="0.25">
      <c r="C90" s="22"/>
      <c r="D90" s="22"/>
      <c r="E90" s="22"/>
      <c r="F90" s="22"/>
      <c r="G90" s="22"/>
      <c r="H90" s="21"/>
      <c r="I90" s="21"/>
      <c r="J90" s="21"/>
      <c r="K90" s="21"/>
      <c r="L90" s="22"/>
    </row>
    <row r="91" spans="1:12" x14ac:dyDescent="0.25">
      <c r="C91" s="22"/>
      <c r="D91" s="22"/>
      <c r="E91" s="22"/>
      <c r="F91" s="22"/>
      <c r="G91" s="22"/>
      <c r="H91" s="21"/>
      <c r="I91" s="21"/>
      <c r="J91" s="21"/>
      <c r="K91" s="21"/>
      <c r="L91" s="22"/>
    </row>
    <row r="92" spans="1:12" x14ac:dyDescent="0.25">
      <c r="A92" t="s">
        <v>109</v>
      </c>
      <c r="C92" s="22"/>
      <c r="D92" s="22"/>
      <c r="E92" s="22"/>
      <c r="F92" s="22"/>
      <c r="G92" s="22"/>
      <c r="H92" s="21"/>
      <c r="I92" s="21"/>
      <c r="J92" s="21"/>
      <c r="K92" s="21"/>
      <c r="L92" s="22"/>
    </row>
    <row r="93" spans="1:12" x14ac:dyDescent="0.25">
      <c r="B93" t="s">
        <v>501</v>
      </c>
      <c r="C93" s="20">
        <f t="shared" ref="C93:H93" si="7">SUM(C84:C89)</f>
        <v>45469</v>
      </c>
      <c r="D93" s="20">
        <f t="shared" si="7"/>
        <v>121196</v>
      </c>
      <c r="E93" s="20">
        <f t="shared" si="7"/>
        <v>55183</v>
      </c>
      <c r="F93" s="20">
        <f t="shared" si="7"/>
        <v>37500</v>
      </c>
      <c r="G93" s="20">
        <f t="shared" si="7"/>
        <v>14973.2</v>
      </c>
      <c r="H93" s="20">
        <f t="shared" si="7"/>
        <v>18700</v>
      </c>
      <c r="I93" s="20"/>
      <c r="J93" s="20">
        <f>SUM(J84:J89)</f>
        <v>21000</v>
      </c>
      <c r="K93" s="20">
        <f>SUM(K84:K89)</f>
        <v>0</v>
      </c>
      <c r="L93" s="20">
        <f>SUM(L84:L89)</f>
        <v>21000</v>
      </c>
    </row>
    <row r="94" spans="1:12" x14ac:dyDescent="0.25">
      <c r="C94" s="22"/>
      <c r="D94" s="22"/>
      <c r="E94" s="22"/>
      <c r="F94" s="22"/>
      <c r="G94" s="22"/>
      <c r="H94" s="21"/>
      <c r="I94" s="21"/>
      <c r="J94" s="21"/>
      <c r="K94" s="21"/>
      <c r="L94" s="22"/>
    </row>
    <row r="95" spans="1:12" x14ac:dyDescent="0.25">
      <c r="A95" t="s">
        <v>530</v>
      </c>
      <c r="C95" s="22"/>
      <c r="D95" s="22"/>
      <c r="E95" s="22"/>
      <c r="F95" s="22"/>
      <c r="G95" s="22"/>
      <c r="H95" s="21"/>
      <c r="I95" s="21"/>
      <c r="J95" s="21"/>
      <c r="K95" s="21"/>
      <c r="L95" s="22"/>
    </row>
    <row r="96" spans="1:12" x14ac:dyDescent="0.25">
      <c r="C96" s="22"/>
      <c r="D96" s="22"/>
      <c r="E96" s="22"/>
      <c r="F96" s="22"/>
      <c r="G96" s="22"/>
      <c r="H96" s="21"/>
      <c r="I96" s="21"/>
      <c r="J96" s="21"/>
      <c r="K96" s="21"/>
      <c r="L96" s="22"/>
    </row>
    <row r="97" spans="1:12" x14ac:dyDescent="0.25">
      <c r="A97" t="s">
        <v>1883</v>
      </c>
      <c r="B97" s="7" t="s">
        <v>530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1">
        <v>0</v>
      </c>
      <c r="I97" s="21"/>
      <c r="J97" s="21">
        <v>0</v>
      </c>
      <c r="K97" s="21">
        <v>0</v>
      </c>
      <c r="L97" s="22">
        <f>SUM(J97+K97)</f>
        <v>0</v>
      </c>
    </row>
    <row r="98" spans="1:12" hidden="1" x14ac:dyDescent="0.25">
      <c r="A98" t="s">
        <v>1884</v>
      </c>
      <c r="B98" s="7" t="s">
        <v>1885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1">
        <v>0</v>
      </c>
      <c r="I98" s="21"/>
      <c r="J98" s="21">
        <v>0</v>
      </c>
      <c r="K98" s="21">
        <v>0</v>
      </c>
      <c r="L98" s="22">
        <f t="shared" ref="L98:L100" si="8">SUM(J98+K98)</f>
        <v>0</v>
      </c>
    </row>
    <row r="99" spans="1:12" x14ac:dyDescent="0.25">
      <c r="A99" t="s">
        <v>1886</v>
      </c>
      <c r="B99" s="7" t="s">
        <v>1887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1">
        <v>0</v>
      </c>
      <c r="I99" s="21"/>
      <c r="J99" s="21">
        <v>0</v>
      </c>
      <c r="K99" s="21">
        <v>0</v>
      </c>
      <c r="L99" s="22">
        <f t="shared" si="8"/>
        <v>0</v>
      </c>
    </row>
    <row r="100" spans="1:12" x14ac:dyDescent="0.25">
      <c r="A100" t="s">
        <v>1888</v>
      </c>
      <c r="B100" s="7" t="s">
        <v>1889</v>
      </c>
      <c r="C100" s="22">
        <v>9882</v>
      </c>
      <c r="D100" s="22">
        <v>-11016</v>
      </c>
      <c r="E100" s="22">
        <v>0</v>
      </c>
      <c r="F100" s="22">
        <v>0</v>
      </c>
      <c r="G100" s="22">
        <v>0</v>
      </c>
      <c r="H100" s="21">
        <v>0</v>
      </c>
      <c r="I100" s="21"/>
      <c r="J100" s="21">
        <v>0</v>
      </c>
      <c r="K100" s="21">
        <v>0</v>
      </c>
      <c r="L100" s="22">
        <f t="shared" si="8"/>
        <v>0</v>
      </c>
    </row>
    <row r="101" spans="1:12" x14ac:dyDescent="0.25">
      <c r="C101" s="22"/>
      <c r="D101" s="22"/>
      <c r="E101" s="22"/>
      <c r="F101" s="22"/>
      <c r="G101" s="22"/>
      <c r="H101" s="21"/>
      <c r="I101" s="21"/>
      <c r="J101" s="21"/>
      <c r="K101" s="21"/>
      <c r="L101" s="22"/>
    </row>
    <row r="102" spans="1:12" x14ac:dyDescent="0.25">
      <c r="C102" s="22"/>
      <c r="D102" s="22"/>
      <c r="E102" s="22"/>
      <c r="F102" s="22"/>
      <c r="G102" s="22"/>
      <c r="H102" s="21"/>
      <c r="I102" s="21"/>
      <c r="J102" s="21"/>
      <c r="K102" s="21"/>
      <c r="L102" s="22"/>
    </row>
    <row r="103" spans="1:12" x14ac:dyDescent="0.25">
      <c r="A103" t="s">
        <v>109</v>
      </c>
      <c r="C103" s="22"/>
      <c r="D103" s="22"/>
      <c r="E103" s="22"/>
      <c r="F103" s="22"/>
      <c r="G103" s="22"/>
      <c r="H103" s="21"/>
      <c r="I103" s="21"/>
      <c r="J103" s="21"/>
      <c r="K103" s="21"/>
      <c r="L103" s="22"/>
    </row>
    <row r="104" spans="1:12" x14ac:dyDescent="0.25">
      <c r="B104" t="s">
        <v>530</v>
      </c>
      <c r="C104" s="20">
        <f t="shared" ref="C104:H104" si="9">SUM(C97:C100)</f>
        <v>9882</v>
      </c>
      <c r="D104" s="20">
        <f t="shared" si="9"/>
        <v>-11016</v>
      </c>
      <c r="E104" s="20">
        <f t="shared" si="9"/>
        <v>0</v>
      </c>
      <c r="F104" s="20">
        <f t="shared" si="9"/>
        <v>0</v>
      </c>
      <c r="G104" s="20">
        <f t="shared" si="9"/>
        <v>0</v>
      </c>
      <c r="H104" s="20">
        <f t="shared" si="9"/>
        <v>0</v>
      </c>
      <c r="I104" s="20"/>
      <c r="J104" s="20">
        <f>SUM(J97:J100)</f>
        <v>0</v>
      </c>
      <c r="K104" s="20">
        <f>SUM(K97:K100)</f>
        <v>0</v>
      </c>
      <c r="L104" s="20">
        <f>SUM(L97:L100)</f>
        <v>0</v>
      </c>
    </row>
    <row r="105" spans="1:12" x14ac:dyDescent="0.25">
      <c r="C105" s="22"/>
      <c r="D105" s="22"/>
      <c r="E105" s="22"/>
      <c r="F105" s="22"/>
      <c r="G105" s="22"/>
      <c r="H105" s="21"/>
      <c r="I105" s="21"/>
      <c r="J105" s="21"/>
      <c r="K105" s="21"/>
      <c r="L105" s="22"/>
    </row>
    <row r="106" spans="1:12" x14ac:dyDescent="0.25">
      <c r="C106" s="22"/>
      <c r="D106" s="22"/>
      <c r="E106" s="22"/>
      <c r="F106" s="22"/>
      <c r="G106" s="22"/>
      <c r="H106" s="21"/>
      <c r="I106" s="21"/>
      <c r="J106" s="21"/>
      <c r="K106" s="21"/>
      <c r="L106" s="22"/>
    </row>
    <row r="107" spans="1:12" x14ac:dyDescent="0.25">
      <c r="A107" t="s">
        <v>109</v>
      </c>
      <c r="C107" s="22"/>
      <c r="D107" s="22"/>
      <c r="E107" s="22"/>
      <c r="F107" s="22"/>
      <c r="G107" s="22"/>
      <c r="H107" s="21"/>
      <c r="I107" s="21"/>
      <c r="J107" s="21"/>
      <c r="K107" s="21"/>
      <c r="L107" s="22"/>
    </row>
    <row r="108" spans="1:12" x14ac:dyDescent="0.25">
      <c r="B108" t="s">
        <v>3724</v>
      </c>
      <c r="C108" s="20">
        <f t="shared" ref="C108:H108" si="10">C37+C63+C80+C93+C104</f>
        <v>405573</v>
      </c>
      <c r="D108" s="20">
        <f t="shared" si="10"/>
        <v>677356</v>
      </c>
      <c r="E108" s="20">
        <f t="shared" si="10"/>
        <v>631330</v>
      </c>
      <c r="F108" s="20">
        <f t="shared" si="10"/>
        <v>913947</v>
      </c>
      <c r="G108" s="20">
        <f t="shared" si="10"/>
        <v>576512.74</v>
      </c>
      <c r="H108" s="20">
        <f t="shared" si="10"/>
        <v>663354.27</v>
      </c>
      <c r="I108" s="20"/>
      <c r="J108" s="20">
        <f>J37+J63+J80+J93+J104</f>
        <v>736011.49799999991</v>
      </c>
      <c r="K108" s="20">
        <f>K37+K63+K80+K93+K104</f>
        <v>75000</v>
      </c>
      <c r="L108" s="20">
        <f>L37+L63+L80+L93+L104</f>
        <v>811011.49799999991</v>
      </c>
    </row>
    <row r="109" spans="1:12" x14ac:dyDescent="0.25">
      <c r="C109" s="22"/>
      <c r="D109" s="22"/>
      <c r="E109" s="22"/>
      <c r="F109" s="22"/>
      <c r="G109" s="22"/>
      <c r="H109" s="21"/>
      <c r="I109" s="21"/>
      <c r="J109" s="21"/>
      <c r="K109" s="21"/>
      <c r="L109" s="22"/>
    </row>
  </sheetData>
  <sheetProtection algorithmName="SHA-512" hashValue="SqbOMMwl/YtkhzNBUZUqJCUN3FTrQof0YunfcZu93aJwfSF7cF+RtjmvbY+JlqNBND18aKHMt4LED3kvMblmDw==" saltValue="51CARHgCm04U9Pzu6Cf6nA==" spinCount="100000" sheet="1" objects="1" scenarios="1" insertRows="0"/>
  <pageMargins left="0.25" right="0.25" top="0.75" bottom="0.75" header="0.3" footer="0.3"/>
  <pageSetup scale="75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DE8FE-C87C-43F1-A750-6C51FBBB3FC5}">
  <sheetPr>
    <pageSetUpPr fitToPage="1"/>
  </sheetPr>
  <dimension ref="A1:L99"/>
  <sheetViews>
    <sheetView zoomScaleNormal="100" workbookViewId="0">
      <selection activeCell="J35" sqref="J35"/>
    </sheetView>
  </sheetViews>
  <sheetFormatPr defaultRowHeight="15" x14ac:dyDescent="0.25"/>
  <cols>
    <col min="2" max="2" width="33.140625" bestFit="1" customWidth="1"/>
    <col min="3" max="6" width="15.28515625" bestFit="1" customWidth="1"/>
    <col min="7" max="7" width="14.28515625" bestFit="1" customWidth="1"/>
    <col min="8" max="8" width="13.28515625" bestFit="1" customWidth="1"/>
    <col min="9" max="9" width="10.7109375" customWidth="1"/>
    <col min="10" max="10" width="13.28515625" bestFit="1" customWidth="1"/>
    <col min="11" max="11" width="14.7109375" bestFit="1" customWidth="1"/>
    <col min="12" max="12" width="14.140625" bestFit="1" customWidth="1"/>
  </cols>
  <sheetData>
    <row r="1" spans="1:12" x14ac:dyDescent="0.25">
      <c r="A1" t="s">
        <v>3726</v>
      </c>
    </row>
    <row r="2" spans="1:12" x14ac:dyDescent="0.25">
      <c r="A2" t="s">
        <v>1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3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2" x14ac:dyDescent="0.25">
      <c r="A8" t="s">
        <v>1911</v>
      </c>
    </row>
    <row r="9" spans="1:12" x14ac:dyDescent="0.25">
      <c r="A9" t="s">
        <v>18</v>
      </c>
      <c r="B9" t="s">
        <v>23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x14ac:dyDescent="0.25">
      <c r="A10" t="s">
        <v>297</v>
      </c>
      <c r="B10" t="s">
        <v>298</v>
      </c>
      <c r="C10" s="22">
        <v>927</v>
      </c>
      <c r="D10" s="22">
        <v>0</v>
      </c>
      <c r="E10" s="22">
        <v>1025</v>
      </c>
      <c r="F10" s="22">
        <v>0</v>
      </c>
      <c r="G10" s="22">
        <v>0</v>
      </c>
      <c r="H10" s="21">
        <v>0</v>
      </c>
      <c r="I10" s="21"/>
      <c r="J10" s="21">
        <v>0</v>
      </c>
      <c r="K10" s="21">
        <v>0</v>
      </c>
      <c r="L10" s="22">
        <f>SUM(J10+K10)</f>
        <v>0</v>
      </c>
    </row>
    <row r="11" spans="1:12" x14ac:dyDescent="0.25">
      <c r="A11" t="s">
        <v>1910</v>
      </c>
      <c r="B11" t="s">
        <v>1844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1">
        <v>0</v>
      </c>
      <c r="I11" s="21"/>
      <c r="J11" s="21">
        <v>0</v>
      </c>
      <c r="K11" s="21">
        <v>0</v>
      </c>
      <c r="L11" s="22">
        <f>SUM(J11+K11)</f>
        <v>0</v>
      </c>
    </row>
    <row r="12" spans="1:12" x14ac:dyDescent="0.25"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x14ac:dyDescent="0.25"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2" x14ac:dyDescent="0.25">
      <c r="A14" t="s">
        <v>109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12" x14ac:dyDescent="0.25">
      <c r="B15" t="s">
        <v>1911</v>
      </c>
      <c r="C15" s="22">
        <f t="shared" ref="C15:H15" si="0">SUM(C10:C11)</f>
        <v>927</v>
      </c>
      <c r="D15" s="22">
        <f t="shared" si="0"/>
        <v>0</v>
      </c>
      <c r="E15" s="22">
        <f t="shared" si="0"/>
        <v>1025</v>
      </c>
      <c r="F15" s="22">
        <f t="shared" si="0"/>
        <v>0</v>
      </c>
      <c r="G15" s="22">
        <f t="shared" si="0"/>
        <v>0</v>
      </c>
      <c r="H15" s="22">
        <f t="shared" si="0"/>
        <v>0</v>
      </c>
      <c r="I15" s="22"/>
      <c r="J15" s="22">
        <f>SUM(J10:J11)</f>
        <v>0</v>
      </c>
      <c r="K15" s="22">
        <f>SUM(K10:K11)</f>
        <v>0</v>
      </c>
      <c r="L15" s="22">
        <f>SUM(L10:L11)</f>
        <v>0</v>
      </c>
    </row>
    <row r="16" spans="1:12" x14ac:dyDescent="0.25"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x14ac:dyDescent="0.25">
      <c r="A17" t="s">
        <v>1952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25">
      <c r="A18" t="s">
        <v>18</v>
      </c>
      <c r="B18" t="s">
        <v>22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x14ac:dyDescent="0.25">
      <c r="A19" t="s">
        <v>1914</v>
      </c>
      <c r="B19" t="s">
        <v>62</v>
      </c>
      <c r="C19" s="22">
        <v>73256</v>
      </c>
      <c r="D19" s="22">
        <v>626574</v>
      </c>
      <c r="E19" s="22">
        <v>925328</v>
      </c>
      <c r="F19" s="22">
        <v>689091</v>
      </c>
      <c r="G19" s="22">
        <v>639847.18999999994</v>
      </c>
      <c r="H19" s="21">
        <v>775000</v>
      </c>
      <c r="I19" s="21"/>
      <c r="J19" s="21">
        <v>770000</v>
      </c>
      <c r="K19" s="21">
        <v>0</v>
      </c>
      <c r="L19" s="22">
        <f t="shared" ref="L19:L39" si="1">SUM(J19+K19)</f>
        <v>770000</v>
      </c>
    </row>
    <row r="20" spans="1:12" x14ac:dyDescent="0.25">
      <c r="A20" t="s">
        <v>1915</v>
      </c>
      <c r="B20" t="s">
        <v>64</v>
      </c>
      <c r="C20" s="22">
        <v>7517</v>
      </c>
      <c r="D20" s="22">
        <v>91662</v>
      </c>
      <c r="E20" s="22">
        <v>0</v>
      </c>
      <c r="F20" s="22">
        <v>0</v>
      </c>
      <c r="G20" s="22">
        <v>0</v>
      </c>
      <c r="H20" s="21">
        <v>0</v>
      </c>
      <c r="I20" s="21"/>
      <c r="J20" s="21">
        <v>0</v>
      </c>
      <c r="K20" s="21">
        <v>0</v>
      </c>
      <c r="L20" s="22">
        <f t="shared" si="1"/>
        <v>0</v>
      </c>
    </row>
    <row r="21" spans="1:12" x14ac:dyDescent="0.25">
      <c r="A21" t="s">
        <v>1916</v>
      </c>
      <c r="B21" t="s">
        <v>1917</v>
      </c>
      <c r="C21" s="22">
        <v>6106</v>
      </c>
      <c r="D21" s="22">
        <v>38845</v>
      </c>
      <c r="E21" s="22">
        <v>43564</v>
      </c>
      <c r="F21" s="22">
        <v>32971</v>
      </c>
      <c r="G21" s="22">
        <v>27047.83</v>
      </c>
      <c r="H21" s="21">
        <v>32000</v>
      </c>
      <c r="I21" s="21"/>
      <c r="J21" s="21">
        <v>33500</v>
      </c>
      <c r="K21" s="21">
        <v>0</v>
      </c>
      <c r="L21" s="22">
        <f t="shared" si="1"/>
        <v>33500</v>
      </c>
    </row>
    <row r="22" spans="1:12" x14ac:dyDescent="0.25">
      <c r="A22" t="s">
        <v>1918</v>
      </c>
      <c r="B22" t="s">
        <v>1919</v>
      </c>
      <c r="C22" s="22">
        <v>6566</v>
      </c>
      <c r="D22" s="22">
        <v>41603</v>
      </c>
      <c r="E22" s="22">
        <v>20072</v>
      </c>
      <c r="F22" s="22">
        <v>0</v>
      </c>
      <c r="G22" s="22">
        <v>8567.1200000000008</v>
      </c>
      <c r="H22" s="21">
        <v>10000</v>
      </c>
      <c r="I22" s="21"/>
      <c r="J22" s="21">
        <v>11000</v>
      </c>
      <c r="K22" s="21">
        <v>0</v>
      </c>
      <c r="L22" s="22">
        <f t="shared" si="1"/>
        <v>11000</v>
      </c>
    </row>
    <row r="23" spans="1:12" x14ac:dyDescent="0.25">
      <c r="A23" t="s">
        <v>1920</v>
      </c>
      <c r="B23" t="s">
        <v>1921</v>
      </c>
      <c r="C23" s="22">
        <v>0</v>
      </c>
      <c r="D23" s="22">
        <v>0</v>
      </c>
      <c r="E23" s="22">
        <v>463</v>
      </c>
      <c r="F23" s="22">
        <v>347</v>
      </c>
      <c r="G23" s="22">
        <v>304.29000000000002</v>
      </c>
      <c r="H23" s="21">
        <v>347</v>
      </c>
      <c r="I23" s="21"/>
      <c r="J23" s="21">
        <v>425</v>
      </c>
      <c r="K23" s="21">
        <v>0</v>
      </c>
      <c r="L23" s="22">
        <f t="shared" si="1"/>
        <v>425</v>
      </c>
    </row>
    <row r="24" spans="1:12" x14ac:dyDescent="0.25">
      <c r="A24" t="s">
        <v>1922</v>
      </c>
      <c r="B24" t="s">
        <v>1923</v>
      </c>
      <c r="C24" s="22">
        <v>89800</v>
      </c>
      <c r="D24" s="22">
        <v>22020</v>
      </c>
      <c r="E24" s="22">
        <v>19500</v>
      </c>
      <c r="F24" s="22">
        <v>16100</v>
      </c>
      <c r="G24" s="22">
        <v>10380</v>
      </c>
      <c r="H24" s="21">
        <v>10600</v>
      </c>
      <c r="I24" s="21"/>
      <c r="J24" s="21">
        <v>10000</v>
      </c>
      <c r="K24" s="21">
        <v>0</v>
      </c>
      <c r="L24" s="22">
        <f t="shared" si="1"/>
        <v>10000</v>
      </c>
    </row>
    <row r="25" spans="1:12" x14ac:dyDescent="0.25">
      <c r="A25" t="s">
        <v>1924</v>
      </c>
      <c r="B25" t="s">
        <v>1925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1">
        <v>0</v>
      </c>
      <c r="I25" s="21"/>
      <c r="J25" s="21">
        <v>0</v>
      </c>
      <c r="K25" s="21">
        <v>0</v>
      </c>
      <c r="L25" s="22">
        <f t="shared" si="1"/>
        <v>0</v>
      </c>
    </row>
    <row r="26" spans="1:12" x14ac:dyDescent="0.25">
      <c r="A26" t="s">
        <v>1926</v>
      </c>
      <c r="B26" t="s">
        <v>1927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1">
        <v>0</v>
      </c>
      <c r="I26" s="21"/>
      <c r="J26" s="21">
        <v>0</v>
      </c>
      <c r="K26" s="21">
        <v>0</v>
      </c>
      <c r="L26" s="22">
        <f t="shared" si="1"/>
        <v>0</v>
      </c>
    </row>
    <row r="27" spans="1:12" x14ac:dyDescent="0.25">
      <c r="A27" t="s">
        <v>1928</v>
      </c>
      <c r="B27" t="s">
        <v>1929</v>
      </c>
      <c r="C27" s="22">
        <v>0</v>
      </c>
      <c r="D27" s="22">
        <v>0</v>
      </c>
      <c r="E27" s="22">
        <v>121627</v>
      </c>
      <c r="F27" s="22">
        <v>108985</v>
      </c>
      <c r="G27" s="22">
        <v>141176.88</v>
      </c>
      <c r="H27" s="21">
        <v>169000</v>
      </c>
      <c r="I27" s="21"/>
      <c r="J27" s="21">
        <v>173000</v>
      </c>
      <c r="K27" s="21">
        <v>0</v>
      </c>
      <c r="L27" s="22">
        <f t="shared" si="1"/>
        <v>173000</v>
      </c>
    </row>
    <row r="28" spans="1:12" x14ac:dyDescent="0.25">
      <c r="A28" t="s">
        <v>1930</v>
      </c>
      <c r="B28" t="s">
        <v>1931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1"/>
        <v>0</v>
      </c>
    </row>
    <row r="29" spans="1:12" x14ac:dyDescent="0.25">
      <c r="A29" t="s">
        <v>1932</v>
      </c>
      <c r="B29" t="s">
        <v>1933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1">
        <v>0</v>
      </c>
      <c r="I29" s="21"/>
      <c r="J29" s="21">
        <v>0</v>
      </c>
      <c r="K29" s="21">
        <v>0</v>
      </c>
      <c r="L29" s="22">
        <f t="shared" si="1"/>
        <v>0</v>
      </c>
    </row>
    <row r="30" spans="1:12" x14ac:dyDescent="0.25">
      <c r="A30" t="s">
        <v>1934</v>
      </c>
      <c r="B30" t="s">
        <v>1935</v>
      </c>
      <c r="C30" s="22">
        <v>-20</v>
      </c>
      <c r="D30" s="22">
        <v>0</v>
      </c>
      <c r="E30" s="22">
        <v>-727</v>
      </c>
      <c r="F30" s="22">
        <v>0</v>
      </c>
      <c r="G30" s="22">
        <v>5</v>
      </c>
      <c r="H30" s="21">
        <v>5</v>
      </c>
      <c r="I30" s="21"/>
      <c r="J30" s="21">
        <v>0</v>
      </c>
      <c r="K30" s="21">
        <v>0</v>
      </c>
      <c r="L30" s="22">
        <f t="shared" si="1"/>
        <v>0</v>
      </c>
    </row>
    <row r="31" spans="1:12" x14ac:dyDescent="0.25">
      <c r="A31" t="s">
        <v>1938</v>
      </c>
      <c r="B31" t="s">
        <v>1939</v>
      </c>
      <c r="C31" s="22">
        <v>100545</v>
      </c>
      <c r="D31" s="22">
        <v>5130</v>
      </c>
      <c r="E31" s="22">
        <v>22869</v>
      </c>
      <c r="F31" s="22">
        <v>0</v>
      </c>
      <c r="G31" s="22">
        <v>0</v>
      </c>
      <c r="H31" s="21">
        <v>0</v>
      </c>
      <c r="I31" s="21"/>
      <c r="J31" s="21">
        <v>0</v>
      </c>
      <c r="K31" s="21">
        <v>0</v>
      </c>
      <c r="L31" s="22">
        <f t="shared" si="1"/>
        <v>0</v>
      </c>
    </row>
    <row r="32" spans="1:12" x14ac:dyDescent="0.25">
      <c r="A32" t="s">
        <v>1940</v>
      </c>
      <c r="B32" t="s">
        <v>1941</v>
      </c>
      <c r="C32" s="22">
        <v>58350</v>
      </c>
      <c r="D32" s="22">
        <v>0</v>
      </c>
      <c r="E32" s="22">
        <v>0</v>
      </c>
      <c r="F32" s="22">
        <v>0</v>
      </c>
      <c r="G32" s="22">
        <v>0</v>
      </c>
      <c r="H32" s="21">
        <v>0</v>
      </c>
      <c r="I32" s="21"/>
      <c r="J32" s="21">
        <v>0</v>
      </c>
      <c r="K32" s="21">
        <v>0</v>
      </c>
      <c r="L32" s="22">
        <f t="shared" si="1"/>
        <v>0</v>
      </c>
    </row>
    <row r="33" spans="1:12" x14ac:dyDescent="0.25">
      <c r="A33" t="s">
        <v>1942</v>
      </c>
      <c r="B33" t="s">
        <v>77</v>
      </c>
      <c r="C33" s="22">
        <v>0</v>
      </c>
      <c r="D33" s="22">
        <v>52136</v>
      </c>
      <c r="E33" s="22">
        <v>0</v>
      </c>
      <c r="F33" s="22">
        <v>0</v>
      </c>
      <c r="G33" s="22">
        <v>0</v>
      </c>
      <c r="H33" s="21">
        <v>0</v>
      </c>
      <c r="I33" s="21"/>
      <c r="J33" s="21">
        <v>0</v>
      </c>
      <c r="K33" s="21">
        <v>0</v>
      </c>
      <c r="L33" s="22">
        <f t="shared" si="1"/>
        <v>0</v>
      </c>
    </row>
    <row r="34" spans="1:12" x14ac:dyDescent="0.25">
      <c r="A34" t="s">
        <v>1943</v>
      </c>
      <c r="B34" t="s">
        <v>95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1">
        <v>0</v>
      </c>
      <c r="I34" s="21"/>
      <c r="J34" s="21">
        <v>0</v>
      </c>
      <c r="K34" s="21">
        <v>0</v>
      </c>
      <c r="L34" s="22">
        <f t="shared" si="1"/>
        <v>0</v>
      </c>
    </row>
    <row r="35" spans="1:12" x14ac:dyDescent="0.25">
      <c r="A35" t="s">
        <v>1944</v>
      </c>
      <c r="B35" t="s">
        <v>1945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1">
        <v>0</v>
      </c>
      <c r="I35" s="21"/>
      <c r="J35" s="21">
        <v>0</v>
      </c>
      <c r="K35" s="21">
        <v>0</v>
      </c>
      <c r="L35" s="22">
        <f t="shared" si="1"/>
        <v>0</v>
      </c>
    </row>
    <row r="36" spans="1:12" x14ac:dyDescent="0.25">
      <c r="A36" t="s">
        <v>1946</v>
      </c>
      <c r="B36" t="s">
        <v>101</v>
      </c>
      <c r="C36" s="22">
        <v>0</v>
      </c>
      <c r="D36" s="22">
        <v>0</v>
      </c>
      <c r="E36" s="22">
        <v>0</v>
      </c>
      <c r="F36" s="22">
        <v>1654430</v>
      </c>
      <c r="G36" s="22">
        <v>0</v>
      </c>
      <c r="H36" s="21">
        <v>0</v>
      </c>
      <c r="I36" s="21"/>
      <c r="J36" s="21">
        <v>0</v>
      </c>
      <c r="K36" s="21">
        <v>0</v>
      </c>
      <c r="L36" s="22">
        <f t="shared" si="1"/>
        <v>0</v>
      </c>
    </row>
    <row r="37" spans="1:12" x14ac:dyDescent="0.25">
      <c r="A37" t="s">
        <v>1947</v>
      </c>
      <c r="B37" t="s">
        <v>1948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1">
        <v>0</v>
      </c>
      <c r="I37" s="21"/>
      <c r="J37" s="21">
        <v>0</v>
      </c>
      <c r="K37" s="21">
        <v>0</v>
      </c>
      <c r="L37" s="22">
        <f t="shared" si="1"/>
        <v>0</v>
      </c>
    </row>
    <row r="38" spans="1:12" x14ac:dyDescent="0.25">
      <c r="A38" t="s">
        <v>1949</v>
      </c>
      <c r="B38" t="s">
        <v>1746</v>
      </c>
      <c r="C38" s="22">
        <v>0</v>
      </c>
      <c r="D38" s="22">
        <v>105765</v>
      </c>
      <c r="E38" s="22">
        <v>0</v>
      </c>
      <c r="F38" s="22">
        <v>0</v>
      </c>
      <c r="G38" s="22">
        <v>0</v>
      </c>
      <c r="H38" s="21">
        <v>0</v>
      </c>
      <c r="I38" s="21"/>
      <c r="J38" s="21">
        <v>0</v>
      </c>
      <c r="K38" s="21">
        <v>0</v>
      </c>
      <c r="L38" s="22">
        <f t="shared" si="1"/>
        <v>0</v>
      </c>
    </row>
    <row r="39" spans="1:12" x14ac:dyDescent="0.25">
      <c r="A39" t="s">
        <v>1950</v>
      </c>
      <c r="B39" t="s">
        <v>1951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1">
        <v>0</v>
      </c>
      <c r="I39" s="21"/>
      <c r="J39" s="21">
        <v>0</v>
      </c>
      <c r="K39" s="21">
        <v>0</v>
      </c>
      <c r="L39" s="22">
        <f t="shared" si="1"/>
        <v>0</v>
      </c>
    </row>
    <row r="40" spans="1:12" x14ac:dyDescent="0.25"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5"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5">
      <c r="A42" t="s">
        <v>109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5">
      <c r="B43" t="s">
        <v>1952</v>
      </c>
      <c r="C43" s="22">
        <f t="shared" ref="C43:H43" si="2">SUM(C19:C39)</f>
        <v>342120</v>
      </c>
      <c r="D43" s="22">
        <f t="shared" si="2"/>
        <v>983735</v>
      </c>
      <c r="E43" s="22">
        <f t="shared" si="2"/>
        <v>1152696</v>
      </c>
      <c r="F43" s="22">
        <f t="shared" si="2"/>
        <v>2501924</v>
      </c>
      <c r="G43" s="22">
        <f t="shared" si="2"/>
        <v>827328.30999999994</v>
      </c>
      <c r="H43" s="22">
        <f t="shared" si="2"/>
        <v>996952</v>
      </c>
      <c r="I43" s="22"/>
      <c r="J43" s="22">
        <f>SUM(J19:J39)</f>
        <v>997925</v>
      </c>
      <c r="K43" s="22">
        <f>SUM(K19:K39)</f>
        <v>0</v>
      </c>
      <c r="L43" s="22">
        <f>SUM(L19:L39)</f>
        <v>997925</v>
      </c>
    </row>
    <row r="44" spans="1:12" x14ac:dyDescent="0.25"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5">
      <c r="A45" t="s">
        <v>1982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5">
      <c r="A46" t="s">
        <v>18</v>
      </c>
      <c r="B46" t="s">
        <v>26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x14ac:dyDescent="0.25">
      <c r="A47" t="s">
        <v>1954</v>
      </c>
      <c r="B47" t="s">
        <v>1955</v>
      </c>
      <c r="C47" s="22">
        <v>5191347</v>
      </c>
      <c r="D47" s="22">
        <v>5167203</v>
      </c>
      <c r="E47" s="22">
        <v>4949325</v>
      </c>
      <c r="F47" s="22">
        <v>4599617</v>
      </c>
      <c r="G47" s="22">
        <v>4069419.37</v>
      </c>
      <c r="H47" s="21">
        <v>4600000</v>
      </c>
      <c r="I47" s="21"/>
      <c r="J47" s="21">
        <v>4949000</v>
      </c>
      <c r="K47" s="21">
        <v>0</v>
      </c>
      <c r="L47" s="22">
        <f>SUM(J47+K47)</f>
        <v>4949000</v>
      </c>
    </row>
    <row r="48" spans="1:12" x14ac:dyDescent="0.25">
      <c r="A48" t="s">
        <v>1956</v>
      </c>
      <c r="B48" t="s">
        <v>1957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1">
        <v>0</v>
      </c>
      <c r="I48" s="21"/>
      <c r="J48" s="21">
        <v>0</v>
      </c>
      <c r="K48" s="21">
        <v>0</v>
      </c>
      <c r="L48" s="22">
        <f t="shared" ref="L48:L61" si="3">SUM(J48+K48)</f>
        <v>0</v>
      </c>
    </row>
    <row r="49" spans="1:12" x14ac:dyDescent="0.25">
      <c r="A49" t="s">
        <v>1958</v>
      </c>
      <c r="B49" t="s">
        <v>1959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1">
        <v>0</v>
      </c>
      <c r="I49" s="21"/>
      <c r="J49" s="21">
        <v>0</v>
      </c>
      <c r="K49" s="21">
        <v>0</v>
      </c>
      <c r="L49" s="22">
        <f t="shared" si="3"/>
        <v>0</v>
      </c>
    </row>
    <row r="50" spans="1:12" x14ac:dyDescent="0.25">
      <c r="A50" t="s">
        <v>1960</v>
      </c>
      <c r="B50" t="s">
        <v>1961</v>
      </c>
      <c r="C50" s="22">
        <v>653250</v>
      </c>
      <c r="D50" s="22">
        <v>303750</v>
      </c>
      <c r="E50" s="22">
        <v>253500</v>
      </c>
      <c r="F50" s="22">
        <v>273000</v>
      </c>
      <c r="G50" s="22">
        <v>122250</v>
      </c>
      <c r="H50" s="21">
        <v>135000</v>
      </c>
      <c r="I50" s="21"/>
      <c r="J50" s="21">
        <v>140000</v>
      </c>
      <c r="K50" s="21">
        <v>0</v>
      </c>
      <c r="L50" s="22">
        <f t="shared" si="3"/>
        <v>140000</v>
      </c>
    </row>
    <row r="51" spans="1:12" x14ac:dyDescent="0.25">
      <c r="A51" t="s">
        <v>1962</v>
      </c>
      <c r="B51" t="s">
        <v>1963</v>
      </c>
      <c r="C51" s="22">
        <v>387762</v>
      </c>
      <c r="D51" s="22">
        <v>65317</v>
      </c>
      <c r="E51" s="22">
        <v>70180</v>
      </c>
      <c r="F51" s="22">
        <v>58644</v>
      </c>
      <c r="G51" s="22">
        <v>32553.040000000001</v>
      </c>
      <c r="H51" s="21">
        <v>43000</v>
      </c>
      <c r="I51" s="21"/>
      <c r="J51" s="21">
        <v>43000</v>
      </c>
      <c r="K51" s="21">
        <v>0</v>
      </c>
      <c r="L51" s="22">
        <f t="shared" si="3"/>
        <v>43000</v>
      </c>
    </row>
    <row r="52" spans="1:12" x14ac:dyDescent="0.25">
      <c r="A52" t="s">
        <v>1964</v>
      </c>
      <c r="B52" t="s">
        <v>77</v>
      </c>
      <c r="C52" s="22">
        <v>38918</v>
      </c>
      <c r="D52" s="22">
        <v>34529</v>
      </c>
      <c r="E52" s="22">
        <v>48900</v>
      </c>
      <c r="F52" s="22">
        <v>41199</v>
      </c>
      <c r="G52" s="22">
        <v>21524.17</v>
      </c>
      <c r="H52" s="21">
        <v>25000</v>
      </c>
      <c r="I52" s="21"/>
      <c r="J52" s="21">
        <v>30000</v>
      </c>
      <c r="K52" s="21">
        <v>0</v>
      </c>
      <c r="L52" s="22">
        <f t="shared" si="3"/>
        <v>30000</v>
      </c>
    </row>
    <row r="53" spans="1:12" x14ac:dyDescent="0.25">
      <c r="A53" t="s">
        <v>1965</v>
      </c>
      <c r="B53" t="s">
        <v>1966</v>
      </c>
      <c r="C53" s="22">
        <v>0</v>
      </c>
      <c r="D53" s="22">
        <v>0</v>
      </c>
      <c r="E53" s="22">
        <v>0</v>
      </c>
      <c r="F53" s="22">
        <v>1</v>
      </c>
      <c r="G53" s="22">
        <v>0</v>
      </c>
      <c r="H53" s="21">
        <v>0</v>
      </c>
      <c r="I53" s="21"/>
      <c r="J53" s="21">
        <v>0</v>
      </c>
      <c r="K53" s="21">
        <v>0</v>
      </c>
      <c r="L53" s="22">
        <f t="shared" si="3"/>
        <v>0</v>
      </c>
    </row>
    <row r="54" spans="1:12" x14ac:dyDescent="0.25">
      <c r="A54" t="s">
        <v>1967</v>
      </c>
      <c r="B54" t="s">
        <v>1968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1">
        <v>0</v>
      </c>
      <c r="I54" s="21"/>
      <c r="J54" s="21">
        <v>0</v>
      </c>
      <c r="K54" s="21">
        <v>0</v>
      </c>
      <c r="L54" s="22">
        <f t="shared" si="3"/>
        <v>0</v>
      </c>
    </row>
    <row r="55" spans="1:12" x14ac:dyDescent="0.25">
      <c r="A55" t="s">
        <v>1969</v>
      </c>
      <c r="B55" t="s">
        <v>1970</v>
      </c>
      <c r="C55" s="22">
        <v>111840</v>
      </c>
      <c r="D55" s="22">
        <v>115365</v>
      </c>
      <c r="E55" s="22">
        <v>114465</v>
      </c>
      <c r="F55" s="22">
        <v>117260</v>
      </c>
      <c r="G55" s="22">
        <v>109995</v>
      </c>
      <c r="H55" s="21">
        <v>120000</v>
      </c>
      <c r="I55" s="21"/>
      <c r="J55" s="21">
        <v>135000</v>
      </c>
      <c r="K55" s="21">
        <v>0</v>
      </c>
      <c r="L55" s="22">
        <f t="shared" si="3"/>
        <v>135000</v>
      </c>
    </row>
    <row r="56" spans="1:12" x14ac:dyDescent="0.25">
      <c r="A56" t="s">
        <v>1971</v>
      </c>
      <c r="B56" t="s">
        <v>1972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1">
        <v>0</v>
      </c>
      <c r="I56" s="21"/>
      <c r="J56" s="21">
        <v>0</v>
      </c>
      <c r="K56" s="21">
        <v>0</v>
      </c>
      <c r="L56" s="22">
        <f t="shared" si="3"/>
        <v>0</v>
      </c>
    </row>
    <row r="57" spans="1:12" x14ac:dyDescent="0.25">
      <c r="A57" t="s">
        <v>1973</v>
      </c>
      <c r="B57" t="s">
        <v>1974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1">
        <v>0</v>
      </c>
      <c r="I57" s="21"/>
      <c r="J57" s="21">
        <v>0</v>
      </c>
      <c r="K57" s="21">
        <v>0</v>
      </c>
      <c r="L57" s="22">
        <f t="shared" si="3"/>
        <v>0</v>
      </c>
    </row>
    <row r="58" spans="1:12" x14ac:dyDescent="0.25">
      <c r="A58" t="s">
        <v>1975</v>
      </c>
      <c r="B58" t="s">
        <v>1976</v>
      </c>
      <c r="C58" s="22">
        <v>125</v>
      </c>
      <c r="D58" s="22">
        <v>0</v>
      </c>
      <c r="E58" s="22">
        <v>0</v>
      </c>
      <c r="F58" s="22">
        <v>0</v>
      </c>
      <c r="G58" s="22">
        <v>0</v>
      </c>
      <c r="H58" s="21">
        <v>0</v>
      </c>
      <c r="I58" s="21"/>
      <c r="J58" s="21">
        <v>0</v>
      </c>
      <c r="K58" s="21">
        <v>0</v>
      </c>
      <c r="L58" s="22">
        <f t="shared" si="3"/>
        <v>0</v>
      </c>
    </row>
    <row r="59" spans="1:12" x14ac:dyDescent="0.25">
      <c r="A59" t="s">
        <v>1977</v>
      </c>
      <c r="B59" t="s">
        <v>1978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1">
        <v>0</v>
      </c>
      <c r="I59" s="21"/>
      <c r="J59" s="21">
        <v>0</v>
      </c>
      <c r="K59" s="21">
        <v>0</v>
      </c>
      <c r="L59" s="22">
        <f t="shared" si="3"/>
        <v>0</v>
      </c>
    </row>
    <row r="60" spans="1:12" x14ac:dyDescent="0.25">
      <c r="A60" t="s">
        <v>1979</v>
      </c>
      <c r="B60" t="s">
        <v>1980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1">
        <v>0</v>
      </c>
      <c r="I60" s="21"/>
      <c r="J60" s="21">
        <v>0</v>
      </c>
      <c r="K60" s="21">
        <v>0</v>
      </c>
      <c r="L60" s="22">
        <f t="shared" si="3"/>
        <v>0</v>
      </c>
    </row>
    <row r="61" spans="1:12" x14ac:dyDescent="0.25">
      <c r="A61" t="s">
        <v>1981</v>
      </c>
      <c r="B61" t="s">
        <v>1656</v>
      </c>
      <c r="C61" s="22">
        <v>0</v>
      </c>
      <c r="D61" s="22">
        <v>0</v>
      </c>
      <c r="E61" s="22">
        <v>0</v>
      </c>
      <c r="F61" s="22">
        <v>401157</v>
      </c>
      <c r="G61" s="22">
        <v>0</v>
      </c>
      <c r="H61" s="21">
        <v>0</v>
      </c>
      <c r="I61" s="21"/>
      <c r="J61" s="21">
        <v>0</v>
      </c>
      <c r="K61" s="21">
        <v>0</v>
      </c>
      <c r="L61" s="22">
        <f t="shared" si="3"/>
        <v>0</v>
      </c>
    </row>
    <row r="62" spans="1:12" x14ac:dyDescent="0.25"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12" x14ac:dyDescent="0.25"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1:12" x14ac:dyDescent="0.25">
      <c r="A64" t="s">
        <v>109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x14ac:dyDescent="0.25">
      <c r="B65" t="s">
        <v>1982</v>
      </c>
      <c r="C65" s="22">
        <f t="shared" ref="C65:H65" si="4">SUM(C47:C61)</f>
        <v>6383242</v>
      </c>
      <c r="D65" s="22">
        <f t="shared" si="4"/>
        <v>5686164</v>
      </c>
      <c r="E65" s="22">
        <f t="shared" si="4"/>
        <v>5436370</v>
      </c>
      <c r="F65" s="22">
        <f t="shared" si="4"/>
        <v>5490878</v>
      </c>
      <c r="G65" s="22">
        <f t="shared" si="4"/>
        <v>4355741.58</v>
      </c>
      <c r="H65" s="22">
        <f t="shared" si="4"/>
        <v>4923000</v>
      </c>
      <c r="I65" s="22"/>
      <c r="J65" s="22">
        <f>SUM(J47:J61)</f>
        <v>5297000</v>
      </c>
      <c r="K65" s="22">
        <f>SUM(K47:K61)</f>
        <v>0</v>
      </c>
      <c r="L65" s="22">
        <f>SUM(L47:L61)</f>
        <v>5297000</v>
      </c>
    </row>
    <row r="66" spans="1:12" x14ac:dyDescent="0.25">
      <c r="A66" t="s">
        <v>110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1:12" x14ac:dyDescent="0.25">
      <c r="A67" t="s">
        <v>2000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1:12" x14ac:dyDescent="0.25">
      <c r="A68" t="s">
        <v>18</v>
      </c>
      <c r="B68" t="s">
        <v>26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1:12" x14ac:dyDescent="0.25">
      <c r="A69" t="s">
        <v>1984</v>
      </c>
      <c r="B69" t="s">
        <v>1985</v>
      </c>
      <c r="C69" s="22">
        <v>3324580</v>
      </c>
      <c r="D69" s="22">
        <v>3506835</v>
      </c>
      <c r="E69" s="22">
        <v>3671744</v>
      </c>
      <c r="F69" s="22">
        <v>3657038</v>
      </c>
      <c r="G69" s="22">
        <v>3121460.48</v>
      </c>
      <c r="H69" s="21">
        <v>3745000</v>
      </c>
      <c r="I69" s="21"/>
      <c r="J69" s="21">
        <v>3815000</v>
      </c>
      <c r="K69" s="21">
        <v>0</v>
      </c>
      <c r="L69" s="22">
        <f>SUM(J69+K69)</f>
        <v>3815000</v>
      </c>
    </row>
    <row r="70" spans="1:12" x14ac:dyDescent="0.25">
      <c r="A70" t="s">
        <v>1986</v>
      </c>
      <c r="B70" t="s">
        <v>1959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1">
        <v>0</v>
      </c>
      <c r="I70" s="21"/>
      <c r="J70" s="21">
        <v>0</v>
      </c>
      <c r="K70" s="21">
        <v>0</v>
      </c>
      <c r="L70" s="22">
        <f t="shared" ref="L70:L78" si="5">SUM(J70+K70)</f>
        <v>0</v>
      </c>
    </row>
    <row r="71" spans="1:12" x14ac:dyDescent="0.25">
      <c r="A71" t="s">
        <v>1987</v>
      </c>
      <c r="B71" t="s">
        <v>1988</v>
      </c>
      <c r="C71" s="22">
        <v>934265</v>
      </c>
      <c r="D71" s="22">
        <v>468000</v>
      </c>
      <c r="E71" s="22">
        <v>314250</v>
      </c>
      <c r="F71" s="22">
        <v>327000</v>
      </c>
      <c r="G71" s="22">
        <v>197250</v>
      </c>
      <c r="H71" s="21">
        <v>240000</v>
      </c>
      <c r="I71" s="21"/>
      <c r="J71" s="21">
        <v>225000</v>
      </c>
      <c r="K71" s="21">
        <v>0</v>
      </c>
      <c r="L71" s="22">
        <f t="shared" si="5"/>
        <v>225000</v>
      </c>
    </row>
    <row r="72" spans="1:12" x14ac:dyDescent="0.25">
      <c r="A72" t="s">
        <v>1989</v>
      </c>
      <c r="B72" t="s">
        <v>1990</v>
      </c>
      <c r="C72" s="22">
        <v>330280</v>
      </c>
      <c r="D72" s="22">
        <v>62955</v>
      </c>
      <c r="E72" s="22">
        <v>71985</v>
      </c>
      <c r="F72" s="22">
        <v>55347</v>
      </c>
      <c r="G72" s="22">
        <v>5759.67</v>
      </c>
      <c r="H72" s="21">
        <v>7600</v>
      </c>
      <c r="I72" s="21"/>
      <c r="J72" s="21">
        <v>4000</v>
      </c>
      <c r="K72" s="21">
        <v>0</v>
      </c>
      <c r="L72" s="22">
        <f t="shared" si="5"/>
        <v>4000</v>
      </c>
    </row>
    <row r="73" spans="1:12" x14ac:dyDescent="0.25">
      <c r="A73" t="s">
        <v>1991</v>
      </c>
      <c r="B73" t="s">
        <v>77</v>
      </c>
      <c r="C73" s="22">
        <v>802</v>
      </c>
      <c r="D73" s="22">
        <v>0</v>
      </c>
      <c r="E73" s="22">
        <v>5700</v>
      </c>
      <c r="F73" s="22">
        <v>5700</v>
      </c>
      <c r="G73" s="22">
        <v>0</v>
      </c>
      <c r="H73" s="21">
        <v>0</v>
      </c>
      <c r="I73" s="21"/>
      <c r="J73" s="21">
        <v>0</v>
      </c>
      <c r="K73" s="21">
        <v>0</v>
      </c>
      <c r="L73" s="22">
        <f t="shared" si="5"/>
        <v>0</v>
      </c>
    </row>
    <row r="74" spans="1:12" x14ac:dyDescent="0.25">
      <c r="A74" t="s">
        <v>1992</v>
      </c>
      <c r="B74" t="s">
        <v>1993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1">
        <v>0</v>
      </c>
      <c r="I74" s="21"/>
      <c r="J74" s="21">
        <v>0</v>
      </c>
      <c r="K74" s="21">
        <v>0</v>
      </c>
      <c r="L74" s="22">
        <f t="shared" si="5"/>
        <v>0</v>
      </c>
    </row>
    <row r="75" spans="1:12" x14ac:dyDescent="0.25">
      <c r="A75" t="s">
        <v>1994</v>
      </c>
      <c r="B75" t="s">
        <v>1974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1">
        <v>0</v>
      </c>
      <c r="I75" s="21"/>
      <c r="J75" s="21">
        <v>0</v>
      </c>
      <c r="K75" s="21">
        <v>0</v>
      </c>
      <c r="L75" s="22">
        <f t="shared" si="5"/>
        <v>0</v>
      </c>
    </row>
    <row r="76" spans="1:12" x14ac:dyDescent="0.25">
      <c r="A76" t="s">
        <v>1995</v>
      </c>
      <c r="B76" t="s">
        <v>1996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1">
        <v>0</v>
      </c>
      <c r="I76" s="21"/>
      <c r="J76" s="21">
        <v>0</v>
      </c>
      <c r="K76" s="21">
        <v>0</v>
      </c>
      <c r="L76" s="22">
        <f t="shared" si="5"/>
        <v>0</v>
      </c>
    </row>
    <row r="77" spans="1:12" x14ac:dyDescent="0.25">
      <c r="A77" t="s">
        <v>1997</v>
      </c>
      <c r="B77" t="s">
        <v>1998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1">
        <v>0</v>
      </c>
      <c r="I77" s="21"/>
      <c r="J77" s="21">
        <v>0</v>
      </c>
      <c r="K77" s="21">
        <v>0</v>
      </c>
      <c r="L77" s="22">
        <f t="shared" si="5"/>
        <v>0</v>
      </c>
    </row>
    <row r="78" spans="1:12" x14ac:dyDescent="0.25">
      <c r="A78" t="s">
        <v>1999</v>
      </c>
      <c r="B78" t="s">
        <v>1951</v>
      </c>
      <c r="C78" s="22">
        <v>0</v>
      </c>
      <c r="D78" s="22">
        <v>0</v>
      </c>
      <c r="E78" s="22">
        <v>0</v>
      </c>
      <c r="F78" s="22">
        <v>590737</v>
      </c>
      <c r="G78" s="22">
        <v>0</v>
      </c>
      <c r="H78" s="21">
        <v>0</v>
      </c>
      <c r="I78" s="21"/>
      <c r="J78" s="21">
        <v>0</v>
      </c>
      <c r="K78" s="21">
        <v>0</v>
      </c>
      <c r="L78" s="22">
        <f t="shared" si="5"/>
        <v>0</v>
      </c>
    </row>
    <row r="79" spans="1:12" x14ac:dyDescent="0.25"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x14ac:dyDescent="0.25"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x14ac:dyDescent="0.25">
      <c r="A81" t="s">
        <v>109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x14ac:dyDescent="0.25">
      <c r="B82" t="s">
        <v>2000</v>
      </c>
      <c r="C82" s="22">
        <f t="shared" ref="C82:H82" si="6">SUM(C69:C78)</f>
        <v>4589927</v>
      </c>
      <c r="D82" s="22">
        <f t="shared" si="6"/>
        <v>4037790</v>
      </c>
      <c r="E82" s="22">
        <f t="shared" si="6"/>
        <v>4063679</v>
      </c>
      <c r="F82" s="22">
        <f t="shared" si="6"/>
        <v>4635822</v>
      </c>
      <c r="G82" s="22">
        <f t="shared" si="6"/>
        <v>3324470.15</v>
      </c>
      <c r="H82" s="22">
        <f t="shared" si="6"/>
        <v>3992600</v>
      </c>
      <c r="I82" s="22"/>
      <c r="J82" s="22">
        <f>SUM(J69:J78)</f>
        <v>4044000</v>
      </c>
      <c r="K82" s="22">
        <f>SUM(K69:K78)</f>
        <v>0</v>
      </c>
      <c r="L82" s="22">
        <f>SUM(L69:L78)</f>
        <v>4044000</v>
      </c>
    </row>
    <row r="83" spans="1:12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1:12" x14ac:dyDescent="0.25">
      <c r="A84" t="s">
        <v>2009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1:12" x14ac:dyDescent="0.25">
      <c r="A85" t="s">
        <v>18</v>
      </c>
      <c r="B85" t="s">
        <v>20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x14ac:dyDescent="0.25">
      <c r="A86" t="s">
        <v>2003</v>
      </c>
      <c r="B86" t="s">
        <v>2004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1">
        <v>0</v>
      </c>
      <c r="I86" s="21"/>
      <c r="J86" s="21">
        <v>2370000</v>
      </c>
      <c r="K86" s="21">
        <v>0</v>
      </c>
      <c r="L86" s="22">
        <f>SUM(J86+K86)</f>
        <v>2370000</v>
      </c>
    </row>
    <row r="87" spans="1:12" x14ac:dyDescent="0.25">
      <c r="A87" t="s">
        <v>2005</v>
      </c>
      <c r="B87" t="s">
        <v>2006</v>
      </c>
      <c r="C87" s="22">
        <v>1677000</v>
      </c>
      <c r="D87" s="22">
        <v>0</v>
      </c>
      <c r="E87" s="22">
        <v>0</v>
      </c>
      <c r="F87" s="22">
        <v>0</v>
      </c>
      <c r="G87" s="22">
        <v>0</v>
      </c>
      <c r="H87" s="21">
        <v>0</v>
      </c>
      <c r="I87" s="21"/>
      <c r="J87" s="21">
        <v>3000000</v>
      </c>
      <c r="K87" s="21">
        <v>0</v>
      </c>
      <c r="L87" s="22">
        <f t="shared" ref="L87:L88" si="7">SUM(J87+K87)</f>
        <v>3000000</v>
      </c>
    </row>
    <row r="88" spans="1:12" x14ac:dyDescent="0.25">
      <c r="A88" t="s">
        <v>2007</v>
      </c>
      <c r="B88" t="s">
        <v>2008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1">
        <v>0</v>
      </c>
      <c r="I88" s="21"/>
      <c r="J88" s="21">
        <v>0</v>
      </c>
      <c r="K88" s="21">
        <v>0</v>
      </c>
      <c r="L88" s="22">
        <f t="shared" si="7"/>
        <v>0</v>
      </c>
    </row>
    <row r="89" spans="1:12" x14ac:dyDescent="0.25"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 spans="1:12" x14ac:dyDescent="0.25"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1:12" x14ac:dyDescent="0.25">
      <c r="A91" t="s">
        <v>109</v>
      </c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1:12" x14ac:dyDescent="0.25">
      <c r="B92" t="s">
        <v>2009</v>
      </c>
      <c r="C92" s="22">
        <f t="shared" ref="C92:H92" si="8">SUM(C86:C88)</f>
        <v>1677000</v>
      </c>
      <c r="D92" s="22">
        <f t="shared" si="8"/>
        <v>0</v>
      </c>
      <c r="E92" s="22">
        <f t="shared" si="8"/>
        <v>0</v>
      </c>
      <c r="F92" s="22">
        <f t="shared" si="8"/>
        <v>0</v>
      </c>
      <c r="G92" s="22">
        <f t="shared" si="8"/>
        <v>0</v>
      </c>
      <c r="H92" s="22">
        <f t="shared" si="8"/>
        <v>0</v>
      </c>
      <c r="I92" s="22"/>
      <c r="J92" s="22">
        <f>SUM(J86:J88)</f>
        <v>5370000</v>
      </c>
      <c r="K92" s="22">
        <f>SUM(K86:K88)</f>
        <v>0</v>
      </c>
      <c r="L92" s="22">
        <f>SUM(L86:L88)</f>
        <v>5370000</v>
      </c>
    </row>
    <row r="93" spans="1:12" x14ac:dyDescent="0.25"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1:12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1:12" x14ac:dyDescent="0.25"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1:12" x14ac:dyDescent="0.25">
      <c r="A96" t="s">
        <v>3542</v>
      </c>
      <c r="C96" s="22">
        <f t="shared" ref="C96:H96" si="9">C15+C43+C65+C82+C92</f>
        <v>12993216</v>
      </c>
      <c r="D96" s="22">
        <f t="shared" si="9"/>
        <v>10707689</v>
      </c>
      <c r="E96" s="22">
        <f t="shared" si="9"/>
        <v>10653770</v>
      </c>
      <c r="F96" s="22">
        <f t="shared" si="9"/>
        <v>12628624</v>
      </c>
      <c r="G96" s="22">
        <f t="shared" si="9"/>
        <v>8507540.0399999991</v>
      </c>
      <c r="H96" s="22">
        <f t="shared" si="9"/>
        <v>9912552</v>
      </c>
      <c r="I96" s="22"/>
      <c r="J96" s="22">
        <f>J15+J43+J65+J82+J92</f>
        <v>15708925</v>
      </c>
      <c r="K96" s="22">
        <f>K15+K43+K65+K82+K92</f>
        <v>0</v>
      </c>
      <c r="L96" s="22">
        <f>L15+L43+L65+L82+L92</f>
        <v>15708925</v>
      </c>
    </row>
    <row r="97" spans="3:12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 spans="3:12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3:12" x14ac:dyDescent="0.25">
      <c r="C99" s="22"/>
      <c r="D99" s="22"/>
      <c r="E99" s="22"/>
      <c r="F99" s="22"/>
      <c r="G99" s="22"/>
      <c r="H99" s="22"/>
      <c r="I99" s="22"/>
      <c r="J99" s="22"/>
      <c r="K99" s="22"/>
      <c r="L99" s="22"/>
    </row>
  </sheetData>
  <sheetProtection algorithmName="SHA-512" hashValue="3a4BZhaEvwUKTXs/ZqE0hBx9v/7M6kBTJzClDs5bkmD87DqbdCz4aukwE89Xyz08/avQOEiEVk/VrGjCR9ckoQ==" saltValue="PHFTDsgRNilefKXlbvc0mg==" spinCount="100000" sheet="1" insertRows="0"/>
  <pageMargins left="0.25" right="0.25" top="0.75" bottom="0.75" header="0.3" footer="0.3"/>
  <pageSetup scale="72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0054-1955-4F63-A36F-A5028EFEB1A1}">
  <sheetPr>
    <pageSetUpPr fitToPage="1"/>
  </sheetPr>
  <dimension ref="A1:L106"/>
  <sheetViews>
    <sheetView zoomScaleNormal="100" workbookViewId="0">
      <selection activeCell="A20" sqref="A20:XFD20"/>
    </sheetView>
  </sheetViews>
  <sheetFormatPr defaultRowHeight="15" x14ac:dyDescent="0.25"/>
  <cols>
    <col min="2" max="2" width="32.5703125" bestFit="1" customWidth="1"/>
    <col min="3" max="3" width="13.42578125" bestFit="1" customWidth="1"/>
    <col min="4" max="4" width="15" bestFit="1" customWidth="1"/>
    <col min="5" max="5" width="14" bestFit="1" customWidth="1"/>
    <col min="6" max="6" width="14.140625" bestFit="1" customWidth="1"/>
    <col min="7" max="7" width="12.85546875" bestFit="1" customWidth="1"/>
    <col min="8" max="8" width="13.28515625" bestFit="1" customWidth="1"/>
    <col min="9" max="9" width="10.7109375" customWidth="1"/>
    <col min="10" max="10" width="13.28515625" bestFit="1" customWidth="1"/>
    <col min="11" max="11" width="14.7109375" bestFit="1" customWidth="1"/>
    <col min="12" max="12" width="14.140625" bestFit="1" customWidth="1"/>
  </cols>
  <sheetData>
    <row r="1" spans="1:12" x14ac:dyDescent="0.25">
      <c r="A1" t="s">
        <v>3726</v>
      </c>
    </row>
    <row r="2" spans="1:12" x14ac:dyDescent="0.25">
      <c r="A2" t="s">
        <v>386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3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2" x14ac:dyDescent="0.25">
      <c r="A8" t="s">
        <v>3727</v>
      </c>
    </row>
    <row r="11" spans="1:12" x14ac:dyDescent="0.25">
      <c r="A11" t="s">
        <v>441</v>
      </c>
    </row>
    <row r="12" spans="1:12" x14ac:dyDescent="0.25">
      <c r="A12" t="s">
        <v>18</v>
      </c>
      <c r="B12" t="s">
        <v>228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x14ac:dyDescent="0.25">
      <c r="A13" t="s">
        <v>2012</v>
      </c>
      <c r="B13" t="s">
        <v>394</v>
      </c>
      <c r="C13" s="22">
        <v>6477</v>
      </c>
      <c r="D13" s="22">
        <v>-3190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2013</v>
      </c>
      <c r="B14" t="s">
        <v>396</v>
      </c>
      <c r="C14" s="22">
        <v>27</v>
      </c>
      <c r="D14" s="22">
        <v>35</v>
      </c>
      <c r="E14" s="22">
        <v>361</v>
      </c>
      <c r="F14" s="22">
        <v>756</v>
      </c>
      <c r="G14" s="22">
        <v>198.69</v>
      </c>
      <c r="H14" s="21">
        <v>300</v>
      </c>
      <c r="I14" s="21"/>
      <c r="J14" s="21">
        <v>189</v>
      </c>
      <c r="K14" s="21">
        <v>0</v>
      </c>
      <c r="L14" s="22">
        <f t="shared" ref="L14:L33" si="0">SUM(J14+K14)</f>
        <v>189</v>
      </c>
    </row>
    <row r="15" spans="1:12" x14ac:dyDescent="0.25">
      <c r="A15" t="s">
        <v>2014</v>
      </c>
      <c r="B15" t="s">
        <v>398</v>
      </c>
      <c r="C15" s="22">
        <v>8209</v>
      </c>
      <c r="D15" s="22">
        <v>9688</v>
      </c>
      <c r="E15" s="22">
        <v>9118</v>
      </c>
      <c r="F15" s="22">
        <v>10402</v>
      </c>
      <c r="G15" s="22">
        <v>9253.2800000000007</v>
      </c>
      <c r="H15" s="21">
        <v>10750</v>
      </c>
      <c r="I15" s="21"/>
      <c r="J15" s="21">
        <v>10401.85</v>
      </c>
      <c r="K15" s="21">
        <v>0</v>
      </c>
      <c r="L15" s="22">
        <f t="shared" si="0"/>
        <v>10401.85</v>
      </c>
    </row>
    <row r="16" spans="1:12" x14ac:dyDescent="0.25">
      <c r="A16" t="s">
        <v>2015</v>
      </c>
      <c r="B16" t="s">
        <v>400</v>
      </c>
      <c r="C16" s="22">
        <v>-105755</v>
      </c>
      <c r="D16" s="22">
        <v>35795</v>
      </c>
      <c r="E16" s="22">
        <v>10548</v>
      </c>
      <c r="F16" s="22">
        <v>12904</v>
      </c>
      <c r="G16" s="22">
        <v>9256.2900000000009</v>
      </c>
      <c r="H16" s="21">
        <v>11000</v>
      </c>
      <c r="I16" s="21"/>
      <c r="J16" s="21">
        <f>3124.56+9222.72</f>
        <v>12347.279999999999</v>
      </c>
      <c r="K16" s="21">
        <v>0</v>
      </c>
      <c r="L16" s="22">
        <f t="shared" si="0"/>
        <v>12347.279999999999</v>
      </c>
    </row>
    <row r="17" spans="1:12" x14ac:dyDescent="0.25">
      <c r="A17" t="s">
        <v>2016</v>
      </c>
      <c r="B17" t="s">
        <v>574</v>
      </c>
      <c r="C17" s="22">
        <v>31112</v>
      </c>
      <c r="D17" s="22">
        <v>30776</v>
      </c>
      <c r="E17" s="22">
        <v>27820</v>
      </c>
      <c r="F17" s="22">
        <v>33240</v>
      </c>
      <c r="G17" s="22">
        <v>23606.75</v>
      </c>
      <c r="H17" s="21">
        <v>26250</v>
      </c>
      <c r="I17" s="21"/>
      <c r="J17" s="21">
        <v>29837.4</v>
      </c>
      <c r="K17" s="21">
        <v>0</v>
      </c>
      <c r="L17" s="22">
        <f t="shared" si="0"/>
        <v>29837.4</v>
      </c>
    </row>
    <row r="18" spans="1:12" x14ac:dyDescent="0.25">
      <c r="A18" t="s">
        <v>2017</v>
      </c>
      <c r="B18" t="s">
        <v>404</v>
      </c>
      <c r="C18" s="22">
        <v>1915</v>
      </c>
      <c r="D18" s="22">
        <v>1989</v>
      </c>
      <c r="E18" s="22">
        <v>1806</v>
      </c>
      <c r="F18" s="22">
        <v>1962</v>
      </c>
      <c r="G18" s="22">
        <v>1559.21</v>
      </c>
      <c r="H18" s="21">
        <v>2250</v>
      </c>
      <c r="I18" s="21"/>
      <c r="J18" s="21">
        <v>2160</v>
      </c>
      <c r="K18" s="21">
        <v>0</v>
      </c>
      <c r="L18" s="22">
        <f t="shared" si="0"/>
        <v>2160</v>
      </c>
    </row>
    <row r="19" spans="1:12" x14ac:dyDescent="0.25">
      <c r="A19" t="s">
        <v>2018</v>
      </c>
      <c r="B19" t="s">
        <v>406</v>
      </c>
      <c r="C19" s="22">
        <v>736</v>
      </c>
      <c r="D19" s="22">
        <v>1998</v>
      </c>
      <c r="E19" s="22">
        <v>534</v>
      </c>
      <c r="F19" s="22">
        <v>588</v>
      </c>
      <c r="G19" s="22">
        <v>1007.36</v>
      </c>
      <c r="H19" s="21">
        <v>1007</v>
      </c>
      <c r="I19" s="21"/>
      <c r="J19" s="21">
        <f>G19*10%+G19</f>
        <v>1108.096</v>
      </c>
      <c r="K19" s="21">
        <v>0</v>
      </c>
      <c r="L19" s="22">
        <f t="shared" si="0"/>
        <v>1108.096</v>
      </c>
    </row>
    <row r="20" spans="1:12" hidden="1" x14ac:dyDescent="0.25">
      <c r="A20" t="s">
        <v>2019</v>
      </c>
      <c r="B20" t="s">
        <v>1200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1">
        <v>0</v>
      </c>
      <c r="I20" s="21"/>
      <c r="J20" s="21">
        <v>0</v>
      </c>
      <c r="K20" s="21">
        <v>0</v>
      </c>
      <c r="L20" s="22">
        <f t="shared" si="0"/>
        <v>0</v>
      </c>
    </row>
    <row r="21" spans="1:12" x14ac:dyDescent="0.25">
      <c r="A21" t="s">
        <v>2020</v>
      </c>
      <c r="B21" t="s">
        <v>2021</v>
      </c>
      <c r="C21" s="22">
        <v>37528</v>
      </c>
      <c r="D21" s="22">
        <v>1451</v>
      </c>
      <c r="E21" s="22">
        <v>0</v>
      </c>
      <c r="F21" s="22">
        <v>0</v>
      </c>
      <c r="G21" s="22">
        <v>0</v>
      </c>
      <c r="H21" s="21">
        <v>0</v>
      </c>
      <c r="I21" s="21"/>
      <c r="J21" s="21">
        <v>0</v>
      </c>
      <c r="K21" s="21">
        <v>0</v>
      </c>
      <c r="L21" s="22">
        <f t="shared" si="0"/>
        <v>0</v>
      </c>
    </row>
    <row r="22" spans="1:12" hidden="1" x14ac:dyDescent="0.25">
      <c r="A22" t="s">
        <v>2022</v>
      </c>
      <c r="B22" t="s">
        <v>422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1">
        <v>0</v>
      </c>
      <c r="I22" s="21"/>
      <c r="J22" s="21">
        <v>0</v>
      </c>
      <c r="K22" s="21">
        <v>0</v>
      </c>
      <c r="L22" s="22">
        <f t="shared" si="0"/>
        <v>0</v>
      </c>
    </row>
    <row r="23" spans="1:12" x14ac:dyDescent="0.25">
      <c r="A23" t="s">
        <v>2023</v>
      </c>
      <c r="B23" t="s">
        <v>424</v>
      </c>
      <c r="C23" s="22">
        <v>484</v>
      </c>
      <c r="D23" s="22">
        <v>554</v>
      </c>
      <c r="E23" s="22">
        <v>657</v>
      </c>
      <c r="F23" s="22">
        <v>692</v>
      </c>
      <c r="G23" s="22">
        <v>692.04</v>
      </c>
      <c r="H23" s="21">
        <v>692</v>
      </c>
      <c r="I23" s="21"/>
      <c r="J23" s="21">
        <v>795.85</v>
      </c>
      <c r="K23" s="21">
        <v>0</v>
      </c>
      <c r="L23" s="22">
        <f t="shared" si="0"/>
        <v>795.85</v>
      </c>
    </row>
    <row r="24" spans="1:12" x14ac:dyDescent="0.25">
      <c r="A24" t="s">
        <v>2024</v>
      </c>
      <c r="B24" t="s">
        <v>426</v>
      </c>
      <c r="C24" s="22">
        <v>1215</v>
      </c>
      <c r="D24" s="22">
        <v>810</v>
      </c>
      <c r="E24" s="22">
        <v>1215</v>
      </c>
      <c r="F24" s="22">
        <v>1215</v>
      </c>
      <c r="G24" s="22">
        <v>830.44</v>
      </c>
      <c r="H24" s="21">
        <v>830</v>
      </c>
      <c r="I24" s="21"/>
      <c r="J24" s="21">
        <v>1214.73</v>
      </c>
      <c r="K24" s="21">
        <v>0</v>
      </c>
      <c r="L24" s="22">
        <f t="shared" si="0"/>
        <v>1214.73</v>
      </c>
    </row>
    <row r="25" spans="1:12" x14ac:dyDescent="0.25">
      <c r="A25" t="s">
        <v>2025</v>
      </c>
      <c r="B25" t="s">
        <v>1204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1">
        <v>0</v>
      </c>
      <c r="I25" s="21"/>
      <c r="J25" s="21">
        <v>0</v>
      </c>
      <c r="K25" s="21">
        <v>0</v>
      </c>
      <c r="L25" s="22">
        <f t="shared" si="0"/>
        <v>0</v>
      </c>
    </row>
    <row r="26" spans="1:12" x14ac:dyDescent="0.25">
      <c r="A26" t="s">
        <v>2026</v>
      </c>
      <c r="B26" t="s">
        <v>428</v>
      </c>
      <c r="C26" s="22">
        <v>600</v>
      </c>
      <c r="D26" s="22">
        <v>600</v>
      </c>
      <c r="E26" s="22">
        <v>600</v>
      </c>
      <c r="F26" s="22">
        <v>600</v>
      </c>
      <c r="G26" s="22">
        <v>530.84</v>
      </c>
      <c r="H26" s="21">
        <v>625</v>
      </c>
      <c r="I26" s="21"/>
      <c r="J26" s="21">
        <v>600</v>
      </c>
      <c r="K26" s="21">
        <v>0</v>
      </c>
      <c r="L26" s="22">
        <f t="shared" si="0"/>
        <v>600</v>
      </c>
    </row>
    <row r="27" spans="1:12" x14ac:dyDescent="0.25">
      <c r="A27" t="s">
        <v>2027</v>
      </c>
      <c r="B27" t="s">
        <v>430</v>
      </c>
      <c r="C27" s="22">
        <v>104</v>
      </c>
      <c r="D27" s="22">
        <v>104</v>
      </c>
      <c r="E27" s="22">
        <v>104</v>
      </c>
      <c r="F27" s="22">
        <v>104</v>
      </c>
      <c r="G27" s="22">
        <v>103.8</v>
      </c>
      <c r="H27" s="21">
        <v>104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2028</v>
      </c>
      <c r="B28" t="s">
        <v>695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2029</v>
      </c>
      <c r="B29" t="s">
        <v>432</v>
      </c>
      <c r="C29" s="22">
        <v>0</v>
      </c>
      <c r="D29" s="22">
        <v>0</v>
      </c>
      <c r="E29" s="22">
        <v>0</v>
      </c>
      <c r="F29" s="22">
        <v>0</v>
      </c>
      <c r="G29" s="22">
        <v>326.77</v>
      </c>
      <c r="H29" s="21">
        <v>500</v>
      </c>
      <c r="I29" s="21"/>
      <c r="J29" s="21">
        <v>0</v>
      </c>
      <c r="K29" s="21">
        <v>0</v>
      </c>
      <c r="L29" s="22">
        <f t="shared" si="0"/>
        <v>0</v>
      </c>
    </row>
    <row r="30" spans="1:12" x14ac:dyDescent="0.25">
      <c r="A30" t="s">
        <v>2030</v>
      </c>
      <c r="B30" t="s">
        <v>2031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1">
        <v>0</v>
      </c>
      <c r="I30" s="21"/>
      <c r="J30" s="21">
        <v>0</v>
      </c>
      <c r="K30" s="21">
        <v>0</v>
      </c>
      <c r="L30" s="22">
        <f t="shared" si="0"/>
        <v>0</v>
      </c>
    </row>
    <row r="31" spans="1:12" x14ac:dyDescent="0.25">
      <c r="A31" t="s">
        <v>2032</v>
      </c>
      <c r="B31" t="s">
        <v>436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1">
        <v>0</v>
      </c>
      <c r="I31" s="21"/>
      <c r="J31" s="21">
        <v>0</v>
      </c>
      <c r="K31" s="21">
        <v>0</v>
      </c>
      <c r="L31" s="22">
        <f t="shared" si="0"/>
        <v>0</v>
      </c>
    </row>
    <row r="32" spans="1:12" x14ac:dyDescent="0.25">
      <c r="A32" t="s">
        <v>2033</v>
      </c>
      <c r="B32" t="s">
        <v>2034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1">
        <v>0</v>
      </c>
      <c r="I32" s="21"/>
      <c r="J32" s="21">
        <v>0</v>
      </c>
      <c r="K32" s="21">
        <v>0</v>
      </c>
      <c r="L32" s="22">
        <f t="shared" si="0"/>
        <v>0</v>
      </c>
    </row>
    <row r="33" spans="1:12" x14ac:dyDescent="0.25">
      <c r="A33" t="s">
        <v>2035</v>
      </c>
      <c r="B33" t="s">
        <v>2036</v>
      </c>
      <c r="C33" s="22">
        <v>81158</v>
      </c>
      <c r="D33" s="22">
        <v>123239</v>
      </c>
      <c r="E33" s="22">
        <v>116792</v>
      </c>
      <c r="F33" s="22">
        <v>133366</v>
      </c>
      <c r="G33" s="22">
        <v>117482.02</v>
      </c>
      <c r="H33" s="21">
        <v>135000</v>
      </c>
      <c r="I33" s="21"/>
      <c r="J33" s="21">
        <v>133361.28</v>
      </c>
      <c r="K33" s="21">
        <v>0</v>
      </c>
      <c r="L33" s="22">
        <f t="shared" si="0"/>
        <v>133361.28</v>
      </c>
    </row>
    <row r="34" spans="1:12" x14ac:dyDescent="0.25"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5"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25">
      <c r="A36" t="s">
        <v>109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x14ac:dyDescent="0.25">
      <c r="B37" t="s">
        <v>441</v>
      </c>
      <c r="C37" s="22">
        <f t="shared" ref="C37:H37" si="1">SUM(C13:C33)</f>
        <v>63810</v>
      </c>
      <c r="D37" s="22">
        <f t="shared" si="1"/>
        <v>203849</v>
      </c>
      <c r="E37" s="22">
        <f t="shared" si="1"/>
        <v>169555</v>
      </c>
      <c r="F37" s="22">
        <f t="shared" si="1"/>
        <v>195829</v>
      </c>
      <c r="G37" s="22">
        <f t="shared" si="1"/>
        <v>164847.49</v>
      </c>
      <c r="H37" s="22">
        <f t="shared" si="1"/>
        <v>189308</v>
      </c>
      <c r="I37" s="22"/>
      <c r="J37" s="22">
        <f>SUM(J13:J33)</f>
        <v>192015.486</v>
      </c>
      <c r="K37" s="22">
        <f>SUM(K13:K33)</f>
        <v>0</v>
      </c>
      <c r="L37" s="22">
        <f>SUM(L13:L33)</f>
        <v>192015.486</v>
      </c>
    </row>
    <row r="38" spans="1:12" x14ac:dyDescent="0.25"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5">
      <c r="A39" t="s">
        <v>478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5">
      <c r="A40" t="s">
        <v>18</v>
      </c>
      <c r="B40" t="s">
        <v>21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5">
      <c r="A41" t="s">
        <v>2037</v>
      </c>
      <c r="B41" t="s">
        <v>445</v>
      </c>
      <c r="C41" s="22">
        <v>0</v>
      </c>
      <c r="D41" s="22">
        <v>370</v>
      </c>
      <c r="E41" s="22">
        <v>0</v>
      </c>
      <c r="F41" s="22">
        <v>0</v>
      </c>
      <c r="G41" s="22">
        <v>0</v>
      </c>
      <c r="H41" s="21">
        <v>0</v>
      </c>
      <c r="I41" s="21"/>
      <c r="J41" s="21">
        <v>0</v>
      </c>
      <c r="K41" s="21">
        <v>0</v>
      </c>
      <c r="L41" s="22">
        <f>SUM(J41+K41)</f>
        <v>0</v>
      </c>
    </row>
    <row r="42" spans="1:12" x14ac:dyDescent="0.25">
      <c r="A42" t="s">
        <v>2038</v>
      </c>
      <c r="B42" t="s">
        <v>2039</v>
      </c>
      <c r="C42" s="22">
        <v>0</v>
      </c>
      <c r="D42" s="22">
        <v>99770</v>
      </c>
      <c r="E42" s="22">
        <v>0</v>
      </c>
      <c r="F42" s="22">
        <v>0</v>
      </c>
      <c r="G42" s="22">
        <v>0</v>
      </c>
      <c r="H42" s="21">
        <v>0</v>
      </c>
      <c r="I42" s="21"/>
      <c r="J42" s="21">
        <v>0</v>
      </c>
      <c r="K42" s="21">
        <v>0</v>
      </c>
      <c r="L42" s="22">
        <f t="shared" ref="L42:L56" si="2">SUM(J42+K42)</f>
        <v>0</v>
      </c>
    </row>
    <row r="43" spans="1:12" x14ac:dyDescent="0.25">
      <c r="A43" t="s">
        <v>2040</v>
      </c>
      <c r="B43" t="s">
        <v>447</v>
      </c>
      <c r="C43" s="22">
        <v>0</v>
      </c>
      <c r="D43" s="22">
        <v>224</v>
      </c>
      <c r="E43" s="22">
        <v>0</v>
      </c>
      <c r="F43" s="22">
        <v>300</v>
      </c>
      <c r="G43" s="22">
        <v>76.819999999999993</v>
      </c>
      <c r="H43" s="21">
        <v>300</v>
      </c>
      <c r="I43" s="21"/>
      <c r="J43" s="21">
        <v>200</v>
      </c>
      <c r="K43" s="21">
        <v>0</v>
      </c>
      <c r="L43" s="22">
        <f t="shared" si="2"/>
        <v>200</v>
      </c>
    </row>
    <row r="44" spans="1:12" x14ac:dyDescent="0.25">
      <c r="A44" t="s">
        <v>2041</v>
      </c>
      <c r="B44" t="s">
        <v>449</v>
      </c>
      <c r="C44" s="22">
        <v>641</v>
      </c>
      <c r="D44" s="22">
        <v>2320</v>
      </c>
      <c r="E44" s="22">
        <v>610</v>
      </c>
      <c r="F44" s="22">
        <v>2000</v>
      </c>
      <c r="G44" s="22">
        <v>520.35</v>
      </c>
      <c r="H44" s="21">
        <v>1000</v>
      </c>
      <c r="I44" s="21"/>
      <c r="J44" s="21">
        <v>1500</v>
      </c>
      <c r="K44" s="21">
        <v>0</v>
      </c>
      <c r="L44" s="22">
        <f t="shared" si="2"/>
        <v>1500</v>
      </c>
    </row>
    <row r="45" spans="1:12" x14ac:dyDescent="0.25">
      <c r="A45" t="s">
        <v>2042</v>
      </c>
      <c r="B45" t="s">
        <v>451</v>
      </c>
      <c r="C45" s="22">
        <v>26</v>
      </c>
      <c r="D45" s="22">
        <v>2198</v>
      </c>
      <c r="E45" s="22">
        <v>0</v>
      </c>
      <c r="F45" s="22">
        <v>2500</v>
      </c>
      <c r="G45" s="22">
        <v>0</v>
      </c>
      <c r="H45" s="21">
        <v>1000</v>
      </c>
      <c r="I45" s="21"/>
      <c r="J45" s="21">
        <v>1500</v>
      </c>
      <c r="K45" s="21">
        <v>0</v>
      </c>
      <c r="L45" s="22">
        <f t="shared" si="2"/>
        <v>1500</v>
      </c>
    </row>
    <row r="46" spans="1:12" x14ac:dyDescent="0.25">
      <c r="A46" t="s">
        <v>2043</v>
      </c>
      <c r="B46" t="s">
        <v>457</v>
      </c>
      <c r="C46" s="22">
        <v>9</v>
      </c>
      <c r="D46" s="22">
        <v>14</v>
      </c>
      <c r="E46" s="22">
        <v>0</v>
      </c>
      <c r="F46" s="22">
        <v>0</v>
      </c>
      <c r="G46" s="22">
        <v>0</v>
      </c>
      <c r="H46" s="21">
        <v>0</v>
      </c>
      <c r="I46" s="21"/>
      <c r="J46" s="21">
        <v>0</v>
      </c>
      <c r="K46" s="21">
        <v>0</v>
      </c>
      <c r="L46" s="22">
        <f t="shared" si="2"/>
        <v>0</v>
      </c>
    </row>
    <row r="47" spans="1:12" x14ac:dyDescent="0.25">
      <c r="A47" t="s">
        <v>2044</v>
      </c>
      <c r="B47" t="s">
        <v>459</v>
      </c>
      <c r="C47" s="22">
        <v>0</v>
      </c>
      <c r="D47" s="22">
        <v>0</v>
      </c>
      <c r="E47" s="22">
        <v>0</v>
      </c>
      <c r="F47" s="22">
        <v>115</v>
      </c>
      <c r="G47" s="22">
        <v>239.9</v>
      </c>
      <c r="H47" s="21">
        <v>240</v>
      </c>
      <c r="I47" s="21"/>
      <c r="J47" s="21">
        <v>0</v>
      </c>
      <c r="K47" s="21">
        <v>0</v>
      </c>
      <c r="L47" s="22">
        <f t="shared" si="2"/>
        <v>0</v>
      </c>
    </row>
    <row r="48" spans="1:12" x14ac:dyDescent="0.25">
      <c r="A48" t="s">
        <v>2045</v>
      </c>
      <c r="B48" t="s">
        <v>461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1">
        <v>0</v>
      </c>
      <c r="I48" s="21"/>
      <c r="J48" s="21">
        <v>0</v>
      </c>
      <c r="K48" s="21">
        <v>0</v>
      </c>
      <c r="L48" s="22">
        <f t="shared" si="2"/>
        <v>0</v>
      </c>
    </row>
    <row r="49" spans="1:12" x14ac:dyDescent="0.25">
      <c r="A49" t="s">
        <v>2046</v>
      </c>
      <c r="B49" t="s">
        <v>1232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1">
        <v>0</v>
      </c>
      <c r="I49" s="21"/>
      <c r="J49" s="21">
        <v>0</v>
      </c>
      <c r="K49" s="21">
        <v>0</v>
      </c>
      <c r="L49" s="22">
        <f t="shared" si="2"/>
        <v>0</v>
      </c>
    </row>
    <row r="50" spans="1:12" x14ac:dyDescent="0.25">
      <c r="A50" t="s">
        <v>2047</v>
      </c>
      <c r="B50" t="s">
        <v>710</v>
      </c>
      <c r="C50" s="22">
        <v>85661</v>
      </c>
      <c r="D50" s="22">
        <v>116782</v>
      </c>
      <c r="E50" s="22">
        <v>131382</v>
      </c>
      <c r="F50" s="22">
        <v>137000</v>
      </c>
      <c r="G50" s="22">
        <v>80412.98</v>
      </c>
      <c r="H50" s="21">
        <v>137000</v>
      </c>
      <c r="I50" s="21"/>
      <c r="J50" s="21">
        <v>144000</v>
      </c>
      <c r="K50" s="21">
        <v>0</v>
      </c>
      <c r="L50" s="22">
        <f t="shared" si="2"/>
        <v>144000</v>
      </c>
    </row>
    <row r="51" spans="1:12" x14ac:dyDescent="0.25">
      <c r="A51" t="s">
        <v>2048</v>
      </c>
      <c r="B51" t="s">
        <v>471</v>
      </c>
      <c r="C51" s="22">
        <v>0</v>
      </c>
      <c r="D51" s="22">
        <v>675</v>
      </c>
      <c r="E51" s="22">
        <v>95</v>
      </c>
      <c r="F51" s="22">
        <v>145</v>
      </c>
      <c r="G51" s="22">
        <v>0</v>
      </c>
      <c r="H51" s="21">
        <v>0</v>
      </c>
      <c r="I51" s="21"/>
      <c r="J51" s="21">
        <v>0</v>
      </c>
      <c r="K51" s="21">
        <v>0</v>
      </c>
      <c r="L51" s="22">
        <f t="shared" si="2"/>
        <v>0</v>
      </c>
    </row>
    <row r="52" spans="1:12" x14ac:dyDescent="0.25">
      <c r="A52" t="s">
        <v>2049</v>
      </c>
      <c r="B52" t="s">
        <v>473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1">
        <v>0</v>
      </c>
      <c r="I52" s="21"/>
      <c r="J52" s="21">
        <v>0</v>
      </c>
      <c r="K52" s="21">
        <v>0</v>
      </c>
      <c r="L52" s="22">
        <f t="shared" si="2"/>
        <v>0</v>
      </c>
    </row>
    <row r="53" spans="1:12" hidden="1" x14ac:dyDescent="0.25">
      <c r="A53" t="s">
        <v>2050</v>
      </c>
      <c r="B53" t="s">
        <v>626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1">
        <v>0</v>
      </c>
      <c r="I53" s="21"/>
      <c r="J53" s="21">
        <v>0</v>
      </c>
      <c r="K53" s="21">
        <v>0</v>
      </c>
      <c r="L53" s="22">
        <f t="shared" si="2"/>
        <v>0</v>
      </c>
    </row>
    <row r="54" spans="1:12" hidden="1" x14ac:dyDescent="0.25">
      <c r="A54" t="s">
        <v>2051</v>
      </c>
      <c r="B54" t="s">
        <v>1246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1">
        <v>0</v>
      </c>
      <c r="I54" s="21"/>
      <c r="J54" s="21">
        <v>0</v>
      </c>
      <c r="K54" s="21">
        <v>0</v>
      </c>
      <c r="L54" s="22">
        <f t="shared" si="2"/>
        <v>0</v>
      </c>
    </row>
    <row r="55" spans="1:12" x14ac:dyDescent="0.25">
      <c r="A55" t="s">
        <v>2052</v>
      </c>
      <c r="B55" t="s">
        <v>475</v>
      </c>
      <c r="C55" s="22">
        <v>295</v>
      </c>
      <c r="D55" s="22">
        <v>114</v>
      </c>
      <c r="E55" s="22">
        <v>534</v>
      </c>
      <c r="F55" s="22">
        <v>500</v>
      </c>
      <c r="G55" s="22">
        <v>470.23</v>
      </c>
      <c r="H55" s="21">
        <v>500</v>
      </c>
      <c r="I55" s="21"/>
      <c r="J55" s="21">
        <v>500</v>
      </c>
      <c r="K55" s="21">
        <v>0</v>
      </c>
      <c r="L55" s="22">
        <f t="shared" si="2"/>
        <v>500</v>
      </c>
    </row>
    <row r="56" spans="1:12" x14ac:dyDescent="0.25">
      <c r="A56" t="s">
        <v>2053</v>
      </c>
      <c r="B56" t="s">
        <v>477</v>
      </c>
      <c r="C56" s="22">
        <v>0</v>
      </c>
      <c r="D56" s="22">
        <v>0</v>
      </c>
      <c r="E56" s="22">
        <v>1418</v>
      </c>
      <c r="F56" s="22">
        <v>2000</v>
      </c>
      <c r="G56" s="22">
        <v>0</v>
      </c>
      <c r="H56" s="24">
        <v>500</v>
      </c>
      <c r="I56" s="21"/>
      <c r="J56" s="21">
        <v>1500</v>
      </c>
      <c r="K56" s="21">
        <v>0</v>
      </c>
      <c r="L56" s="22">
        <f t="shared" si="2"/>
        <v>1500</v>
      </c>
    </row>
    <row r="57" spans="1:12" x14ac:dyDescent="0.25"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x14ac:dyDescent="0.25"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x14ac:dyDescent="0.25">
      <c r="A59" t="s">
        <v>109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x14ac:dyDescent="0.25">
      <c r="B60" t="s">
        <v>478</v>
      </c>
      <c r="C60" s="22">
        <f t="shared" ref="C60:H60" si="3">SUM(C41:C56)</f>
        <v>86632</v>
      </c>
      <c r="D60" s="22">
        <f t="shared" si="3"/>
        <v>222467</v>
      </c>
      <c r="E60" s="22">
        <f t="shared" si="3"/>
        <v>134039</v>
      </c>
      <c r="F60" s="22">
        <f t="shared" si="3"/>
        <v>144560</v>
      </c>
      <c r="G60" s="22">
        <f t="shared" si="3"/>
        <v>81720.28</v>
      </c>
      <c r="H60" s="22">
        <f t="shared" si="3"/>
        <v>140540</v>
      </c>
      <c r="I60" s="22"/>
      <c r="J60" s="22">
        <f>SUM(J41:J56)</f>
        <v>149200</v>
      </c>
      <c r="K60" s="22">
        <f>SUM(K41:K56)</f>
        <v>0</v>
      </c>
      <c r="L60" s="22">
        <f>SUM(L41:L56)</f>
        <v>149200</v>
      </c>
    </row>
    <row r="61" spans="1:12" x14ac:dyDescent="0.25">
      <c r="A61" t="s">
        <v>110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1:12" x14ac:dyDescent="0.25">
      <c r="A62" t="s">
        <v>489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12" x14ac:dyDescent="0.25">
      <c r="A63" t="s">
        <v>18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1:12" x14ac:dyDescent="0.25">
      <c r="A64" t="s">
        <v>2054</v>
      </c>
      <c r="B64" t="s">
        <v>491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1">
        <v>0</v>
      </c>
      <c r="I64" s="21"/>
      <c r="J64" s="21">
        <v>0</v>
      </c>
      <c r="K64" s="21">
        <v>0</v>
      </c>
      <c r="L64" s="22">
        <f>SUM(J64+K64)</f>
        <v>0</v>
      </c>
    </row>
    <row r="65" spans="1:12" x14ac:dyDescent="0.25">
      <c r="A65" t="s">
        <v>2055</v>
      </c>
      <c r="B65" t="s">
        <v>493</v>
      </c>
      <c r="C65" s="22">
        <v>28886</v>
      </c>
      <c r="D65" s="22">
        <v>38335</v>
      </c>
      <c r="E65" s="22">
        <v>35843</v>
      </c>
      <c r="F65" s="22">
        <v>35000</v>
      </c>
      <c r="G65" s="22">
        <v>39667.03</v>
      </c>
      <c r="H65" s="21">
        <v>55000</v>
      </c>
      <c r="I65" s="21"/>
      <c r="J65" s="21">
        <v>60000</v>
      </c>
      <c r="K65" s="21">
        <v>0</v>
      </c>
      <c r="L65" s="22">
        <f t="shared" ref="L65:L69" si="4">SUM(J65+K65)</f>
        <v>60000</v>
      </c>
    </row>
    <row r="66" spans="1:12" x14ac:dyDescent="0.25">
      <c r="A66" t="s">
        <v>2056</v>
      </c>
      <c r="B66" t="s">
        <v>489</v>
      </c>
      <c r="C66" s="22">
        <v>4049</v>
      </c>
      <c r="D66" s="22">
        <v>4532</v>
      </c>
      <c r="E66" s="22">
        <v>3300</v>
      </c>
      <c r="F66" s="22">
        <v>4000</v>
      </c>
      <c r="G66" s="22">
        <v>2386.6799999999998</v>
      </c>
      <c r="H66" s="21">
        <v>3000</v>
      </c>
      <c r="I66" s="21"/>
      <c r="J66" s="21">
        <v>4000</v>
      </c>
      <c r="K66" s="21">
        <v>0</v>
      </c>
      <c r="L66" s="22">
        <f t="shared" si="4"/>
        <v>4000</v>
      </c>
    </row>
    <row r="67" spans="1:12" hidden="1" x14ac:dyDescent="0.25">
      <c r="A67" t="s">
        <v>2057</v>
      </c>
      <c r="B67" t="s">
        <v>496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1">
        <v>0</v>
      </c>
      <c r="I67" s="21"/>
      <c r="J67" s="21">
        <v>0</v>
      </c>
      <c r="K67" s="21">
        <v>0</v>
      </c>
      <c r="L67" s="22">
        <f t="shared" si="4"/>
        <v>0</v>
      </c>
    </row>
    <row r="68" spans="1:12" hidden="1" x14ac:dyDescent="0.25">
      <c r="A68" t="s">
        <v>2058</v>
      </c>
      <c r="B68" t="s">
        <v>498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1">
        <v>0</v>
      </c>
      <c r="I68" s="21"/>
      <c r="J68" s="21">
        <v>0</v>
      </c>
      <c r="K68" s="21">
        <v>0</v>
      </c>
      <c r="L68" s="22">
        <f t="shared" si="4"/>
        <v>0</v>
      </c>
    </row>
    <row r="69" spans="1:12" hidden="1" x14ac:dyDescent="0.25">
      <c r="A69" t="s">
        <v>2059</v>
      </c>
      <c r="B69" t="s">
        <v>500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1">
        <v>0</v>
      </c>
      <c r="I69" s="21"/>
      <c r="J69" s="21">
        <v>0</v>
      </c>
      <c r="K69" s="21">
        <v>0</v>
      </c>
      <c r="L69" s="22">
        <f t="shared" si="4"/>
        <v>0</v>
      </c>
    </row>
    <row r="70" spans="1:12" x14ac:dyDescent="0.25"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x14ac:dyDescent="0.25"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x14ac:dyDescent="0.25">
      <c r="A72" t="s">
        <v>109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x14ac:dyDescent="0.25">
      <c r="B73" t="s">
        <v>489</v>
      </c>
      <c r="C73" s="22">
        <f t="shared" ref="C73:H73" si="5">SUM(C64:C69)</f>
        <v>32935</v>
      </c>
      <c r="D73" s="22">
        <f t="shared" si="5"/>
        <v>42867</v>
      </c>
      <c r="E73" s="22">
        <f t="shared" si="5"/>
        <v>39143</v>
      </c>
      <c r="F73" s="22">
        <f t="shared" si="5"/>
        <v>39000</v>
      </c>
      <c r="G73" s="22">
        <f t="shared" si="5"/>
        <v>42053.71</v>
      </c>
      <c r="H73" s="22">
        <f t="shared" si="5"/>
        <v>58000</v>
      </c>
      <c r="I73" s="22"/>
      <c r="J73" s="22">
        <f>SUM(J64:J69)</f>
        <v>64000</v>
      </c>
      <c r="K73" s="22">
        <f>SUM(K64:K69)</f>
        <v>0</v>
      </c>
      <c r="L73" s="22">
        <f>SUM(L64:L69)</f>
        <v>64000</v>
      </c>
    </row>
    <row r="74" spans="1:12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x14ac:dyDescent="0.25">
      <c r="A75" t="s">
        <v>501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x14ac:dyDescent="0.25">
      <c r="A76" t="s">
        <v>18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x14ac:dyDescent="0.25">
      <c r="A77" t="s">
        <v>2060</v>
      </c>
      <c r="B77" t="s">
        <v>503</v>
      </c>
      <c r="C77" s="22">
        <v>1878</v>
      </c>
      <c r="D77" s="22">
        <v>0</v>
      </c>
      <c r="E77" s="22">
        <v>0</v>
      </c>
      <c r="F77" s="22">
        <v>30000</v>
      </c>
      <c r="G77" s="22">
        <v>135</v>
      </c>
      <c r="H77" s="21">
        <v>350</v>
      </c>
      <c r="I77" s="21"/>
      <c r="J77" s="23">
        <v>0</v>
      </c>
      <c r="K77" s="21">
        <v>0</v>
      </c>
      <c r="L77" s="22">
        <f>SUM(J77+K77)</f>
        <v>0</v>
      </c>
    </row>
    <row r="78" spans="1:12" x14ac:dyDescent="0.25">
      <c r="A78" t="s">
        <v>2061</v>
      </c>
      <c r="B78" t="s">
        <v>2062</v>
      </c>
      <c r="C78" s="22">
        <v>14475</v>
      </c>
      <c r="D78" s="22">
        <v>11250</v>
      </c>
      <c r="E78" s="22">
        <v>12750</v>
      </c>
      <c r="F78" s="22">
        <v>20000</v>
      </c>
      <c r="G78" s="22">
        <v>8050</v>
      </c>
      <c r="H78" s="21">
        <v>20000</v>
      </c>
      <c r="I78" s="21"/>
      <c r="J78" s="23">
        <v>25000</v>
      </c>
      <c r="K78" s="21">
        <v>0</v>
      </c>
      <c r="L78" s="22">
        <f t="shared" ref="L78:L85" si="6">SUM(J78+K78)</f>
        <v>25000</v>
      </c>
    </row>
    <row r="79" spans="1:12" x14ac:dyDescent="0.25">
      <c r="A79" t="s">
        <v>2063</v>
      </c>
      <c r="B79" t="s">
        <v>507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1">
        <v>0</v>
      </c>
      <c r="I79" s="21"/>
      <c r="J79" s="21">
        <v>0</v>
      </c>
      <c r="K79" s="21">
        <v>0</v>
      </c>
      <c r="L79" s="22">
        <f t="shared" si="6"/>
        <v>0</v>
      </c>
    </row>
    <row r="80" spans="1:12" x14ac:dyDescent="0.25">
      <c r="A80" t="s">
        <v>2064</v>
      </c>
      <c r="B80" t="s">
        <v>509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1">
        <v>0</v>
      </c>
      <c r="I80" s="21"/>
      <c r="J80" s="21">
        <v>0</v>
      </c>
      <c r="K80" s="21">
        <v>0</v>
      </c>
      <c r="L80" s="22">
        <f t="shared" si="6"/>
        <v>0</v>
      </c>
    </row>
    <row r="81" spans="1:12" x14ac:dyDescent="0.25">
      <c r="A81" t="s">
        <v>2065</v>
      </c>
      <c r="B81" t="s">
        <v>517</v>
      </c>
      <c r="C81" s="22">
        <v>28043</v>
      </c>
      <c r="D81" s="22">
        <v>29947</v>
      </c>
      <c r="E81" s="22">
        <v>28958</v>
      </c>
      <c r="F81" s="22">
        <v>38000</v>
      </c>
      <c r="G81" s="22">
        <v>26069.46</v>
      </c>
      <c r="H81" s="21">
        <v>38000</v>
      </c>
      <c r="I81" s="21"/>
      <c r="J81" s="21">
        <v>40000</v>
      </c>
      <c r="K81" s="21">
        <v>0</v>
      </c>
      <c r="L81" s="22">
        <f t="shared" si="6"/>
        <v>40000</v>
      </c>
    </row>
    <row r="82" spans="1:12" x14ac:dyDescent="0.25">
      <c r="A82" t="s">
        <v>2066</v>
      </c>
      <c r="B82" t="s">
        <v>519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1">
        <v>0</v>
      </c>
      <c r="I82" s="21"/>
      <c r="J82" s="21">
        <v>0</v>
      </c>
      <c r="K82" s="21">
        <v>0</v>
      </c>
      <c r="L82" s="22">
        <f t="shared" si="6"/>
        <v>0</v>
      </c>
    </row>
    <row r="83" spans="1:12" x14ac:dyDescent="0.25">
      <c r="A83" t="s">
        <v>2067</v>
      </c>
      <c r="B83" t="s">
        <v>521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1">
        <v>0</v>
      </c>
      <c r="I83" s="21"/>
      <c r="J83" s="21">
        <v>0</v>
      </c>
      <c r="K83" s="21">
        <v>0</v>
      </c>
      <c r="L83" s="22">
        <f t="shared" si="6"/>
        <v>0</v>
      </c>
    </row>
    <row r="84" spans="1:12" hidden="1" x14ac:dyDescent="0.25">
      <c r="A84" t="s">
        <v>2068</v>
      </c>
      <c r="B84" t="s">
        <v>2069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1">
        <v>0</v>
      </c>
      <c r="I84" s="21"/>
      <c r="J84" s="21">
        <v>0</v>
      </c>
      <c r="K84" s="21">
        <v>0</v>
      </c>
      <c r="L84" s="22">
        <f t="shared" si="6"/>
        <v>0</v>
      </c>
    </row>
    <row r="85" spans="1:12" hidden="1" x14ac:dyDescent="0.25">
      <c r="A85" t="s">
        <v>2070</v>
      </c>
      <c r="B85" t="s">
        <v>2071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1">
        <v>0</v>
      </c>
      <c r="I85" s="21"/>
      <c r="J85" s="21">
        <v>0</v>
      </c>
      <c r="K85" s="21">
        <v>0</v>
      </c>
      <c r="L85" s="22">
        <f t="shared" si="6"/>
        <v>0</v>
      </c>
    </row>
    <row r="86" spans="1:12" x14ac:dyDescent="0.25"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1:12" x14ac:dyDescent="0.25">
      <c r="A88" t="s">
        <v>109</v>
      </c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1:12" x14ac:dyDescent="0.25">
      <c r="B89" t="s">
        <v>501</v>
      </c>
      <c r="C89" s="22">
        <f t="shared" ref="C89:H89" si="7">SUM(C77:C85)</f>
        <v>44396</v>
      </c>
      <c r="D89" s="22">
        <f t="shared" si="7"/>
        <v>41197</v>
      </c>
      <c r="E89" s="22">
        <f t="shared" si="7"/>
        <v>41708</v>
      </c>
      <c r="F89" s="22">
        <f t="shared" si="7"/>
        <v>88000</v>
      </c>
      <c r="G89" s="22">
        <f t="shared" si="7"/>
        <v>34254.46</v>
      </c>
      <c r="H89" s="22">
        <f t="shared" si="7"/>
        <v>58350</v>
      </c>
      <c r="I89" s="22"/>
      <c r="J89" s="22">
        <f>SUM(J77:J85)</f>
        <v>65000</v>
      </c>
      <c r="K89" s="22">
        <f>SUM(K77:K85)</f>
        <v>0</v>
      </c>
      <c r="L89" s="22">
        <f>SUM(L77:L85)</f>
        <v>65000</v>
      </c>
    </row>
    <row r="90" spans="1:12" x14ac:dyDescent="0.25"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1:12" x14ac:dyDescent="0.25">
      <c r="A91" t="s">
        <v>530</v>
      </c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1:12" x14ac:dyDescent="0.25">
      <c r="A92" t="s">
        <v>18</v>
      </c>
      <c r="B92" t="s">
        <v>526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 spans="1:12" x14ac:dyDescent="0.25">
      <c r="A93" t="s">
        <v>2072</v>
      </c>
      <c r="B93" t="s">
        <v>521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1">
        <v>0</v>
      </c>
      <c r="I93" s="21"/>
      <c r="J93" s="21">
        <v>0</v>
      </c>
      <c r="K93" s="21">
        <v>0</v>
      </c>
      <c r="L93" s="22">
        <f>SUM(J93+K93)</f>
        <v>0</v>
      </c>
    </row>
    <row r="94" spans="1:12" x14ac:dyDescent="0.25">
      <c r="A94" t="s">
        <v>2073</v>
      </c>
      <c r="B94" t="s">
        <v>534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1">
        <v>0</v>
      </c>
      <c r="I94" s="21"/>
      <c r="J94" s="21">
        <v>0</v>
      </c>
      <c r="K94" s="21">
        <v>0</v>
      </c>
      <c r="L94" s="22">
        <f t="shared" ref="L94:L96" si="8">SUM(J94+K94)</f>
        <v>0</v>
      </c>
    </row>
    <row r="95" spans="1:12" hidden="1" x14ac:dyDescent="0.25">
      <c r="A95" t="s">
        <v>2074</v>
      </c>
      <c r="B95" t="s">
        <v>1190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1">
        <v>0</v>
      </c>
      <c r="I95" s="21"/>
      <c r="J95" s="21">
        <v>0</v>
      </c>
      <c r="K95" s="21">
        <v>0</v>
      </c>
      <c r="L95" s="22">
        <f t="shared" si="8"/>
        <v>0</v>
      </c>
    </row>
    <row r="96" spans="1:12" hidden="1" x14ac:dyDescent="0.25">
      <c r="A96" t="s">
        <v>2075</v>
      </c>
      <c r="B96" t="s">
        <v>1894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1">
        <v>0</v>
      </c>
      <c r="I96" s="21"/>
      <c r="J96" s="21">
        <v>0</v>
      </c>
      <c r="K96" s="21">
        <v>0</v>
      </c>
      <c r="L96" s="22">
        <f t="shared" si="8"/>
        <v>0</v>
      </c>
    </row>
    <row r="97" spans="1:12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 spans="1:12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1:12" x14ac:dyDescent="0.25">
      <c r="A99" t="s">
        <v>109</v>
      </c>
      <c r="C99" s="22"/>
      <c r="D99" s="22"/>
      <c r="E99" s="22"/>
      <c r="F99" s="22"/>
      <c r="G99" s="22"/>
      <c r="H99" s="22"/>
      <c r="I99" s="22"/>
      <c r="J99" s="22"/>
      <c r="K99" s="22"/>
      <c r="L99" s="22"/>
    </row>
    <row r="100" spans="1:12" x14ac:dyDescent="0.25">
      <c r="B100" t="s">
        <v>530</v>
      </c>
      <c r="C100" s="22">
        <f t="shared" ref="C100:H100" si="9">SUM(C93:C96)</f>
        <v>0</v>
      </c>
      <c r="D100" s="22">
        <f t="shared" si="9"/>
        <v>0</v>
      </c>
      <c r="E100" s="22">
        <f t="shared" si="9"/>
        <v>0</v>
      </c>
      <c r="F100" s="22">
        <f t="shared" si="9"/>
        <v>0</v>
      </c>
      <c r="G100" s="22">
        <f t="shared" si="9"/>
        <v>0</v>
      </c>
      <c r="H100" s="22">
        <f t="shared" si="9"/>
        <v>0</v>
      </c>
      <c r="I100" s="22"/>
      <c r="J100" s="22">
        <f>SUM(J93:J96)</f>
        <v>0</v>
      </c>
      <c r="K100" s="22">
        <f>SUM(K93:K96)</f>
        <v>0</v>
      </c>
      <c r="L100" s="22">
        <f>SUM(L93:L96)</f>
        <v>0</v>
      </c>
    </row>
    <row r="101" spans="1:12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1:12" x14ac:dyDescent="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1:12" x14ac:dyDescent="0.25">
      <c r="A104">
        <v>55</v>
      </c>
      <c r="B104" t="s">
        <v>3728</v>
      </c>
      <c r="C104" s="22">
        <f t="shared" ref="C104:H104" si="10">C37+C60+C73+C89+C100</f>
        <v>227773</v>
      </c>
      <c r="D104" s="22">
        <f t="shared" si="10"/>
        <v>510380</v>
      </c>
      <c r="E104" s="22">
        <f t="shared" si="10"/>
        <v>384445</v>
      </c>
      <c r="F104" s="22">
        <f t="shared" si="10"/>
        <v>467389</v>
      </c>
      <c r="G104" s="22">
        <f t="shared" si="10"/>
        <v>322875.94</v>
      </c>
      <c r="H104" s="22">
        <f t="shared" si="10"/>
        <v>446198</v>
      </c>
      <c r="I104" s="22"/>
      <c r="J104" s="22">
        <f>J37+J60+J73+J89+J100</f>
        <v>470215.48600000003</v>
      </c>
      <c r="K104" s="22">
        <f>K37+K60+K73+K89+K100</f>
        <v>0</v>
      </c>
      <c r="L104" s="22">
        <f>L37+L60+L73+L89+L100</f>
        <v>470215.48600000003</v>
      </c>
    </row>
    <row r="105" spans="1:12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1:12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</row>
  </sheetData>
  <sheetProtection algorithmName="SHA-512" hashValue="ztHIRfBrTt8XIxPSTqEOTrZmpzAO0gZpG4QDyIGspQGX3Iv/iKTaHBbqkJc4Q6/l7DgAhi18e1HCwU4V458loA==" saltValue="1BmgiVJxX9kOaTYUaNyuKA==" spinCount="100000" sheet="1" insertRows="0"/>
  <pageMargins left="0.25" right="0.25" top="0.75" bottom="0.75" header="0.3" footer="0.3"/>
  <pageSetup scale="75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BBDF8-6CF9-41B3-9B34-C40D39B450F5}">
  <sheetPr>
    <pageSetUpPr fitToPage="1"/>
  </sheetPr>
  <dimension ref="A1:L24"/>
  <sheetViews>
    <sheetView zoomScaleNormal="100" workbookViewId="0">
      <selection activeCell="J12" sqref="J12"/>
    </sheetView>
  </sheetViews>
  <sheetFormatPr defaultRowHeight="15" x14ac:dyDescent="0.25"/>
  <cols>
    <col min="1" max="1" width="9.5703125" bestFit="1" customWidth="1"/>
    <col min="2" max="2" width="31" bestFit="1" customWidth="1"/>
    <col min="3" max="3" width="14.28515625" bestFit="1" customWidth="1"/>
    <col min="4" max="4" width="15" bestFit="1" customWidth="1"/>
    <col min="5" max="8" width="14.28515625" bestFit="1" customWidth="1"/>
    <col min="9" max="9" width="10.7109375" customWidth="1"/>
    <col min="10" max="10" width="14.42578125" bestFit="1" customWidth="1"/>
    <col min="11" max="11" width="16.140625" bestFit="1" customWidth="1"/>
    <col min="12" max="12" width="15.5703125" bestFit="1" customWidth="1"/>
  </cols>
  <sheetData>
    <row r="1" spans="1:12" x14ac:dyDescent="0.25">
      <c r="A1" t="s">
        <v>3729</v>
      </c>
    </row>
    <row r="2" spans="1:12" x14ac:dyDescent="0.25">
      <c r="B2" s="7"/>
      <c r="C2" s="12"/>
      <c r="D2" s="12"/>
      <c r="E2" s="12"/>
      <c r="F2" s="13" t="s">
        <v>2</v>
      </c>
      <c r="G2" s="14" t="s">
        <v>3410</v>
      </c>
      <c r="H2" s="11" t="s">
        <v>4</v>
      </c>
      <c r="I2" s="11"/>
      <c r="J2" s="15" t="s">
        <v>3411</v>
      </c>
      <c r="K2" s="16" t="s">
        <v>3412</v>
      </c>
      <c r="L2" s="17" t="s">
        <v>3413</v>
      </c>
    </row>
    <row r="3" spans="1:12" x14ac:dyDescent="0.25">
      <c r="B3" s="7"/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  <c r="H3" s="16" t="s">
        <v>12</v>
      </c>
      <c r="I3" s="16"/>
      <c r="J3" s="16" t="s">
        <v>3414</v>
      </c>
      <c r="K3" s="16" t="s">
        <v>3415</v>
      </c>
      <c r="L3" s="14" t="s">
        <v>3416</v>
      </c>
    </row>
    <row r="4" spans="1:12" x14ac:dyDescent="0.25">
      <c r="B4" s="7"/>
      <c r="C4" s="14" t="s">
        <v>15</v>
      </c>
      <c r="D4" s="14" t="s">
        <v>15</v>
      </c>
      <c r="E4" s="14" t="s">
        <v>15</v>
      </c>
      <c r="F4" s="14" t="s">
        <v>16</v>
      </c>
      <c r="G4" s="19">
        <v>45889</v>
      </c>
      <c r="H4" s="16" t="s">
        <v>17</v>
      </c>
      <c r="I4" s="16"/>
      <c r="J4" s="16" t="s">
        <v>13</v>
      </c>
      <c r="K4" s="16" t="s">
        <v>3417</v>
      </c>
      <c r="L4" s="14" t="s">
        <v>13</v>
      </c>
    </row>
    <row r="5" spans="1:12" x14ac:dyDescent="0.25">
      <c r="A5" t="s">
        <v>18</v>
      </c>
      <c r="B5" s="7" t="s">
        <v>19</v>
      </c>
      <c r="C5" s="12" t="s">
        <v>20</v>
      </c>
      <c r="D5" s="12" t="s">
        <v>21</v>
      </c>
      <c r="E5" s="12" t="s">
        <v>22</v>
      </c>
      <c r="F5" s="12" t="s">
        <v>23</v>
      </c>
      <c r="G5" s="12" t="s">
        <v>24</v>
      </c>
      <c r="H5" s="11" t="s">
        <v>20</v>
      </c>
      <c r="I5" s="11"/>
      <c r="J5" s="11" t="s">
        <v>24</v>
      </c>
      <c r="K5" s="11" t="s">
        <v>20</v>
      </c>
      <c r="L5" s="12" t="s">
        <v>20</v>
      </c>
    </row>
    <row r="6" spans="1:12" x14ac:dyDescent="0.25">
      <c r="B6" s="7"/>
      <c r="C6" s="12"/>
      <c r="D6" s="12"/>
      <c r="E6" s="12"/>
      <c r="F6" s="12"/>
      <c r="G6" s="12"/>
      <c r="H6" s="11"/>
      <c r="I6" s="11"/>
      <c r="J6" s="11"/>
      <c r="K6" s="11"/>
      <c r="L6" s="12"/>
    </row>
    <row r="9" spans="1:12" x14ac:dyDescent="0.25">
      <c r="A9" t="s">
        <v>530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x14ac:dyDescent="0.25">
      <c r="A10" t="s">
        <v>18</v>
      </c>
      <c r="B10" t="s">
        <v>526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x14ac:dyDescent="0.25">
      <c r="A11" t="s">
        <v>2079</v>
      </c>
      <c r="B11" t="s">
        <v>2080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/>
      <c r="J11" s="22">
        <v>0</v>
      </c>
      <c r="K11" s="22">
        <v>0</v>
      </c>
      <c r="L11" s="22">
        <f>J11+K11</f>
        <v>0</v>
      </c>
    </row>
    <row r="12" spans="1:12" x14ac:dyDescent="0.25">
      <c r="A12" t="s">
        <v>2081</v>
      </c>
      <c r="B12" t="s">
        <v>1634</v>
      </c>
      <c r="C12" s="22">
        <v>1600000</v>
      </c>
      <c r="D12" s="22">
        <v>2059643</v>
      </c>
      <c r="E12" s="22">
        <v>2059643</v>
      </c>
      <c r="F12" s="22">
        <v>3643573</v>
      </c>
      <c r="G12" s="22">
        <v>1544732.28</v>
      </c>
      <c r="H12" s="22">
        <v>3643573</v>
      </c>
      <c r="I12" s="22"/>
      <c r="J12" s="27">
        <v>3643573</v>
      </c>
      <c r="K12" s="22">
        <v>0</v>
      </c>
      <c r="L12" s="22">
        <f>J12+K12</f>
        <v>3643573</v>
      </c>
    </row>
    <row r="13" spans="1:12" x14ac:dyDescent="0.25">
      <c r="A13" t="s">
        <v>2082</v>
      </c>
      <c r="B13" t="s">
        <v>2083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/>
      <c r="J13" s="22">
        <v>0</v>
      </c>
      <c r="K13" s="22">
        <v>0</v>
      </c>
      <c r="L13" s="22">
        <f>J13+K13</f>
        <v>0</v>
      </c>
    </row>
    <row r="14" spans="1:12" x14ac:dyDescent="0.25"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12" x14ac:dyDescent="0.25"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 x14ac:dyDescent="0.25">
      <c r="A16" t="s">
        <v>109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x14ac:dyDescent="0.25">
      <c r="B17" t="s">
        <v>530</v>
      </c>
      <c r="C17" s="22">
        <v>1600000</v>
      </c>
      <c r="D17" s="22">
        <v>1600000</v>
      </c>
      <c r="E17" s="22">
        <f>SUM(E11:E13)</f>
        <v>2059643</v>
      </c>
      <c r="F17" s="22">
        <f>SUM(F11:F13)</f>
        <v>3643573</v>
      </c>
      <c r="G17" s="22">
        <f>SUM(G11:G13)</f>
        <v>1544732.28</v>
      </c>
      <c r="H17" s="22">
        <f>SUM(H11:H13)</f>
        <v>3643573</v>
      </c>
      <c r="I17" s="22"/>
      <c r="J17" s="22">
        <f>SUM(J11:J13)</f>
        <v>3643573</v>
      </c>
      <c r="K17" s="22">
        <f>SUM(K11:K13)</f>
        <v>0</v>
      </c>
      <c r="L17" s="22">
        <f>SUM(L11:L13)</f>
        <v>3643573</v>
      </c>
    </row>
    <row r="18" spans="1:12" x14ac:dyDescent="0.25"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x14ac:dyDescent="0.25"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5">
      <c r="A20" t="s">
        <v>109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x14ac:dyDescent="0.25">
      <c r="A21">
        <v>56</v>
      </c>
      <c r="B21" t="s">
        <v>1658</v>
      </c>
      <c r="C21" s="22">
        <f t="shared" ref="C21:H21" si="0">C17</f>
        <v>1600000</v>
      </c>
      <c r="D21" s="22">
        <f t="shared" si="0"/>
        <v>1600000</v>
      </c>
      <c r="E21" s="22">
        <f t="shared" si="0"/>
        <v>2059643</v>
      </c>
      <c r="F21" s="22">
        <f t="shared" si="0"/>
        <v>3643573</v>
      </c>
      <c r="G21" s="22">
        <f t="shared" si="0"/>
        <v>1544732.28</v>
      </c>
      <c r="H21" s="22">
        <f t="shared" si="0"/>
        <v>3643573</v>
      </c>
      <c r="I21" s="22"/>
      <c r="J21" s="22">
        <f>J17</f>
        <v>3643573</v>
      </c>
      <c r="K21" s="22">
        <f>K17</f>
        <v>0</v>
      </c>
      <c r="L21" s="22">
        <f>L17</f>
        <v>3643573</v>
      </c>
    </row>
    <row r="22" spans="1:12" x14ac:dyDescent="0.25"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5"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5">
      <c r="C24" s="22"/>
      <c r="D24" s="22"/>
      <c r="E24" s="22"/>
      <c r="F24" s="22"/>
      <c r="G24" s="22"/>
      <c r="H24" s="22"/>
      <c r="I24" s="22"/>
      <c r="J24" s="22"/>
      <c r="K24" s="22"/>
      <c r="L24" s="22"/>
    </row>
  </sheetData>
  <sheetProtection algorithmName="SHA-512" hashValue="eMPJTdLes9juCvaKNUr8UA+FNDIdcVef0ok7YeMAmbb81f+W8x22kmWy+WGcp8dIkDEHoyHxGgVRYknyS1IT/Q==" saltValue="zhTFcS4x5WdsUQFLXqYijA==" spinCount="100000" sheet="1" objects="1" scenarios="1"/>
  <pageMargins left="0.25" right="0.25" top="0.75" bottom="0.75" header="0.3" footer="0.3"/>
  <pageSetup scale="72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E161F-6699-4D17-B6AC-742A3B3F8511}">
  <sheetPr>
    <pageSetUpPr fitToPage="1"/>
  </sheetPr>
  <dimension ref="A1:M91"/>
  <sheetViews>
    <sheetView zoomScaleNormal="100" workbookViewId="0">
      <selection activeCell="A60" sqref="A60:XFD61"/>
    </sheetView>
  </sheetViews>
  <sheetFormatPr defaultRowHeight="15" x14ac:dyDescent="0.25"/>
  <cols>
    <col min="2" max="2" width="32.5703125" style="7" bestFit="1" customWidth="1"/>
    <col min="3" max="3" width="13.140625" style="12" bestFit="1" customWidth="1"/>
    <col min="4" max="4" width="14.85546875" style="12" bestFit="1" customWidth="1"/>
    <col min="5" max="5" width="13.85546875" style="12" bestFit="1" customWidth="1"/>
    <col min="6" max="6" width="14" style="12" bestFit="1" customWidth="1"/>
    <col min="7" max="7" width="12.7109375" style="12" bestFit="1" customWidth="1"/>
    <col min="8" max="8" width="13.140625" style="11" bestFit="1" customWidth="1"/>
    <col min="9" max="9" width="10.7109375" style="11" customWidth="1"/>
    <col min="10" max="10" width="13.140625" style="11" bestFit="1" customWidth="1"/>
    <col min="11" max="11" width="14.5703125" style="11" bestFit="1" customWidth="1"/>
    <col min="12" max="12" width="14" style="12" bestFit="1" customWidth="1"/>
  </cols>
  <sheetData>
    <row r="1" spans="1:13" x14ac:dyDescent="0.25">
      <c r="A1" t="s">
        <v>3726</v>
      </c>
    </row>
    <row r="2" spans="1:13" x14ac:dyDescent="0.25">
      <c r="A2" t="s">
        <v>386</v>
      </c>
    </row>
    <row r="3" spans="1:13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3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3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3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3" x14ac:dyDescent="0.25">
      <c r="A8" t="s">
        <v>3730</v>
      </c>
    </row>
    <row r="11" spans="1:13" x14ac:dyDescent="0.25">
      <c r="A11" t="s">
        <v>441</v>
      </c>
      <c r="C11" s="22"/>
      <c r="D11" s="22"/>
      <c r="E11" s="22"/>
      <c r="F11" s="22"/>
      <c r="G11" s="22"/>
      <c r="H11" s="21"/>
      <c r="I11" s="21"/>
      <c r="J11" s="21"/>
      <c r="K11" s="21"/>
      <c r="L11" s="22"/>
      <c r="M11" s="25"/>
    </row>
    <row r="12" spans="1:13" x14ac:dyDescent="0.25">
      <c r="A12" t="s">
        <v>18</v>
      </c>
      <c r="B12" s="7" t="s">
        <v>228</v>
      </c>
      <c r="C12" s="22"/>
      <c r="D12" s="22"/>
      <c r="E12" s="22"/>
      <c r="F12" s="22"/>
      <c r="G12" s="22"/>
      <c r="H12" s="21"/>
      <c r="I12" s="21"/>
      <c r="J12" s="21"/>
      <c r="K12" s="21"/>
      <c r="L12" s="22"/>
      <c r="M12" s="25"/>
    </row>
    <row r="13" spans="1:13" x14ac:dyDescent="0.25">
      <c r="A13" t="s">
        <v>1542</v>
      </c>
      <c r="B13" s="7" t="s">
        <v>569</v>
      </c>
      <c r="C13" s="22">
        <v>9353</v>
      </c>
      <c r="D13" s="22">
        <v>-8306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  <c r="M13" s="25"/>
    </row>
    <row r="14" spans="1:13" x14ac:dyDescent="0.25">
      <c r="A14" t="s">
        <v>1543</v>
      </c>
      <c r="B14" s="7" t="s">
        <v>396</v>
      </c>
      <c r="C14" s="22">
        <v>27</v>
      </c>
      <c r="D14" s="22">
        <v>0</v>
      </c>
      <c r="E14" s="22">
        <v>0</v>
      </c>
      <c r="F14" s="22">
        <v>0</v>
      </c>
      <c r="G14" s="22">
        <v>0</v>
      </c>
      <c r="H14" s="21">
        <v>0</v>
      </c>
      <c r="I14" s="21"/>
      <c r="J14" s="21">
        <v>0</v>
      </c>
      <c r="K14" s="21">
        <v>0</v>
      </c>
      <c r="L14" s="22">
        <f t="shared" ref="L14:L32" si="0">SUM(J14+K14)</f>
        <v>0</v>
      </c>
      <c r="M14" s="25"/>
    </row>
    <row r="15" spans="1:13" x14ac:dyDescent="0.25">
      <c r="A15" t="s">
        <v>1544</v>
      </c>
      <c r="B15" s="7" t="s">
        <v>927</v>
      </c>
      <c r="C15" s="22">
        <v>14466</v>
      </c>
      <c r="D15" s="22">
        <v>555</v>
      </c>
      <c r="E15" s="22">
        <v>0</v>
      </c>
      <c r="F15" s="22">
        <v>0</v>
      </c>
      <c r="G15" s="22">
        <v>0</v>
      </c>
      <c r="H15" s="21">
        <v>0</v>
      </c>
      <c r="I15" s="21"/>
      <c r="J15" s="21">
        <v>0</v>
      </c>
      <c r="K15" s="21">
        <v>0</v>
      </c>
      <c r="L15" s="22">
        <f t="shared" si="0"/>
        <v>0</v>
      </c>
      <c r="M15" s="25"/>
    </row>
    <row r="16" spans="1:13" x14ac:dyDescent="0.25">
      <c r="A16" t="s">
        <v>1545</v>
      </c>
      <c r="B16" s="7" t="s">
        <v>400</v>
      </c>
      <c r="C16" s="22">
        <v>15544</v>
      </c>
      <c r="D16" s="22">
        <v>593</v>
      </c>
      <c r="E16" s="22">
        <v>0</v>
      </c>
      <c r="F16" s="22">
        <v>0</v>
      </c>
      <c r="G16" s="22">
        <v>0</v>
      </c>
      <c r="H16" s="21">
        <v>0</v>
      </c>
      <c r="I16" s="21"/>
      <c r="J16" s="21">
        <v>0</v>
      </c>
      <c r="K16" s="21">
        <v>0</v>
      </c>
      <c r="L16" s="22">
        <f t="shared" si="0"/>
        <v>0</v>
      </c>
      <c r="M16" s="25"/>
    </row>
    <row r="17" spans="1:13" x14ac:dyDescent="0.25">
      <c r="A17" t="s">
        <v>1546</v>
      </c>
      <c r="B17" s="7" t="s">
        <v>402</v>
      </c>
      <c r="C17" s="22">
        <v>37029</v>
      </c>
      <c r="D17" s="22">
        <v>5807</v>
      </c>
      <c r="E17" s="22">
        <v>0</v>
      </c>
      <c r="F17" s="22">
        <v>0</v>
      </c>
      <c r="G17" s="22">
        <v>0</v>
      </c>
      <c r="H17" s="21">
        <v>0</v>
      </c>
      <c r="I17" s="21"/>
      <c r="J17" s="21">
        <v>0</v>
      </c>
      <c r="K17" s="21">
        <v>0</v>
      </c>
      <c r="L17" s="22">
        <f t="shared" si="0"/>
        <v>0</v>
      </c>
      <c r="M17" s="25"/>
    </row>
    <row r="18" spans="1:13" x14ac:dyDescent="0.25">
      <c r="A18" t="s">
        <v>1547</v>
      </c>
      <c r="B18" s="7" t="s">
        <v>404</v>
      </c>
      <c r="C18" s="22">
        <v>1992</v>
      </c>
      <c r="D18" s="22">
        <v>15</v>
      </c>
      <c r="E18" s="22">
        <v>0</v>
      </c>
      <c r="F18" s="22">
        <v>0</v>
      </c>
      <c r="G18" s="22">
        <v>0</v>
      </c>
      <c r="H18" s="21">
        <v>0</v>
      </c>
      <c r="I18" s="21"/>
      <c r="J18" s="21">
        <v>0</v>
      </c>
      <c r="K18" s="21">
        <v>0</v>
      </c>
      <c r="L18" s="22">
        <f t="shared" si="0"/>
        <v>0</v>
      </c>
      <c r="M18" s="25"/>
    </row>
    <row r="19" spans="1:13" x14ac:dyDescent="0.25">
      <c r="A19" t="s">
        <v>1548</v>
      </c>
      <c r="B19" s="7" t="s">
        <v>406</v>
      </c>
      <c r="C19" s="22">
        <v>264</v>
      </c>
      <c r="D19" s="22">
        <v>0</v>
      </c>
      <c r="E19" s="22">
        <v>0</v>
      </c>
      <c r="F19" s="22">
        <v>0</v>
      </c>
      <c r="G19" s="22">
        <v>0</v>
      </c>
      <c r="H19" s="21">
        <v>0</v>
      </c>
      <c r="I19" s="21"/>
      <c r="J19" s="21">
        <v>0</v>
      </c>
      <c r="K19" s="21">
        <v>0</v>
      </c>
      <c r="L19" s="22">
        <f t="shared" si="0"/>
        <v>0</v>
      </c>
      <c r="M19" s="25"/>
    </row>
    <row r="20" spans="1:13" x14ac:dyDescent="0.25">
      <c r="A20" t="s">
        <v>1549</v>
      </c>
      <c r="B20" s="7" t="s">
        <v>1550</v>
      </c>
      <c r="C20" s="22">
        <v>78955</v>
      </c>
      <c r="D20" s="22">
        <v>3040</v>
      </c>
      <c r="E20" s="22">
        <v>0</v>
      </c>
      <c r="F20" s="22">
        <v>0</v>
      </c>
      <c r="G20" s="22">
        <v>0</v>
      </c>
      <c r="H20" s="21">
        <v>0</v>
      </c>
      <c r="I20" s="21"/>
      <c r="J20" s="21">
        <v>0</v>
      </c>
      <c r="K20" s="21">
        <v>0</v>
      </c>
      <c r="L20" s="22">
        <f t="shared" si="0"/>
        <v>0</v>
      </c>
      <c r="M20" s="25"/>
    </row>
    <row r="21" spans="1:13" x14ac:dyDescent="0.25">
      <c r="A21" t="s">
        <v>1551</v>
      </c>
      <c r="B21" s="7" t="s">
        <v>2089</v>
      </c>
      <c r="C21" s="22">
        <v>45015</v>
      </c>
      <c r="D21" s="22">
        <v>1733</v>
      </c>
      <c r="E21" s="22">
        <v>0</v>
      </c>
      <c r="F21" s="22">
        <v>0</v>
      </c>
      <c r="G21" s="22">
        <v>0</v>
      </c>
      <c r="H21" s="21">
        <v>0</v>
      </c>
      <c r="I21" s="21"/>
      <c r="J21" s="21">
        <v>0</v>
      </c>
      <c r="K21" s="21">
        <v>0</v>
      </c>
      <c r="L21" s="22">
        <f t="shared" si="0"/>
        <v>0</v>
      </c>
      <c r="M21" s="25"/>
    </row>
    <row r="22" spans="1:13" x14ac:dyDescent="0.25">
      <c r="A22" t="s">
        <v>1553</v>
      </c>
      <c r="B22" s="7" t="s">
        <v>1554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1">
        <v>0</v>
      </c>
      <c r="I22" s="21"/>
      <c r="J22" s="21">
        <v>0</v>
      </c>
      <c r="K22" s="21">
        <v>0</v>
      </c>
      <c r="L22" s="22">
        <f t="shared" si="0"/>
        <v>0</v>
      </c>
      <c r="M22" s="25"/>
    </row>
    <row r="23" spans="1:13" x14ac:dyDescent="0.25">
      <c r="A23" t="s">
        <v>1555</v>
      </c>
      <c r="B23" s="7" t="s">
        <v>1556</v>
      </c>
      <c r="C23" s="22">
        <v>58578</v>
      </c>
      <c r="D23" s="22">
        <v>2256</v>
      </c>
      <c r="E23" s="22">
        <v>0</v>
      </c>
      <c r="F23" s="22">
        <v>0</v>
      </c>
      <c r="G23" s="22">
        <v>0</v>
      </c>
      <c r="H23" s="21">
        <v>0</v>
      </c>
      <c r="I23" s="21"/>
      <c r="J23" s="21">
        <v>0</v>
      </c>
      <c r="K23" s="21">
        <v>0</v>
      </c>
      <c r="L23" s="22">
        <f t="shared" si="0"/>
        <v>0</v>
      </c>
      <c r="M23" s="25"/>
    </row>
    <row r="24" spans="1:13" x14ac:dyDescent="0.25">
      <c r="A24" t="s">
        <v>1557</v>
      </c>
      <c r="B24" s="7" t="s">
        <v>422</v>
      </c>
      <c r="C24" s="22">
        <v>5000</v>
      </c>
      <c r="D24" s="22">
        <v>192</v>
      </c>
      <c r="E24" s="22">
        <v>0</v>
      </c>
      <c r="F24" s="22">
        <v>0</v>
      </c>
      <c r="G24" s="22">
        <v>0</v>
      </c>
      <c r="H24" s="21">
        <v>0</v>
      </c>
      <c r="I24" s="21"/>
      <c r="J24" s="21">
        <v>0</v>
      </c>
      <c r="K24" s="21">
        <v>0</v>
      </c>
      <c r="L24" s="22">
        <f t="shared" si="0"/>
        <v>0</v>
      </c>
      <c r="M24" s="25"/>
    </row>
    <row r="25" spans="1:13" x14ac:dyDescent="0.25">
      <c r="A25" t="s">
        <v>1558</v>
      </c>
      <c r="B25" s="7" t="s">
        <v>690</v>
      </c>
      <c r="C25" s="22">
        <v>1003</v>
      </c>
      <c r="D25" s="22">
        <v>0</v>
      </c>
      <c r="E25" s="22">
        <v>0</v>
      </c>
      <c r="F25" s="22">
        <v>0</v>
      </c>
      <c r="G25" s="22">
        <v>0</v>
      </c>
      <c r="H25" s="21">
        <v>0</v>
      </c>
      <c r="I25" s="21"/>
      <c r="J25" s="21">
        <v>0</v>
      </c>
      <c r="K25" s="21">
        <v>0</v>
      </c>
      <c r="L25" s="22">
        <f t="shared" si="0"/>
        <v>0</v>
      </c>
      <c r="M25" s="25"/>
    </row>
    <row r="26" spans="1:13" x14ac:dyDescent="0.25">
      <c r="A26" t="s">
        <v>1559</v>
      </c>
      <c r="B26" s="7" t="s">
        <v>426</v>
      </c>
      <c r="C26" s="22">
        <v>1215</v>
      </c>
      <c r="D26" s="22">
        <v>0</v>
      </c>
      <c r="E26" s="22">
        <v>0</v>
      </c>
      <c r="F26" s="22">
        <v>0</v>
      </c>
      <c r="G26" s="22">
        <v>0</v>
      </c>
      <c r="H26" s="21">
        <v>0</v>
      </c>
      <c r="I26" s="21"/>
      <c r="J26" s="21">
        <v>0</v>
      </c>
      <c r="K26" s="21">
        <v>0</v>
      </c>
      <c r="L26" s="22">
        <f t="shared" si="0"/>
        <v>0</v>
      </c>
      <c r="M26" s="25"/>
    </row>
    <row r="27" spans="1:13" x14ac:dyDescent="0.25">
      <c r="A27" t="s">
        <v>1560</v>
      </c>
      <c r="B27" s="7" t="s">
        <v>428</v>
      </c>
      <c r="C27" s="22">
        <v>1200</v>
      </c>
      <c r="D27" s="22">
        <v>46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  <c r="M27" s="25"/>
    </row>
    <row r="28" spans="1:13" x14ac:dyDescent="0.25">
      <c r="A28" t="s">
        <v>1561</v>
      </c>
      <c r="B28" s="7" t="s">
        <v>430</v>
      </c>
      <c r="C28" s="22">
        <v>104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  <c r="M28" s="25"/>
    </row>
    <row r="29" spans="1:13" x14ac:dyDescent="0.25">
      <c r="A29" t="s">
        <v>1562</v>
      </c>
      <c r="B29" s="7" t="s">
        <v>432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1">
        <v>0</v>
      </c>
      <c r="I29" s="21"/>
      <c r="J29" s="21">
        <v>0</v>
      </c>
      <c r="K29" s="21">
        <v>0</v>
      </c>
      <c r="L29" s="22">
        <f t="shared" si="0"/>
        <v>0</v>
      </c>
      <c r="M29" s="25"/>
    </row>
    <row r="30" spans="1:13" x14ac:dyDescent="0.25">
      <c r="A30" t="s">
        <v>1563</v>
      </c>
      <c r="B30" s="7" t="s">
        <v>434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1">
        <v>0</v>
      </c>
      <c r="I30" s="21"/>
      <c r="J30" s="21">
        <v>0</v>
      </c>
      <c r="K30" s="21">
        <v>0</v>
      </c>
      <c r="L30" s="22">
        <f t="shared" si="0"/>
        <v>0</v>
      </c>
      <c r="M30" s="25"/>
    </row>
    <row r="31" spans="1:13" x14ac:dyDescent="0.25">
      <c r="A31" t="s">
        <v>1564</v>
      </c>
      <c r="B31" s="7" t="s">
        <v>436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1">
        <v>0</v>
      </c>
      <c r="I31" s="21"/>
      <c r="J31" s="21">
        <v>0</v>
      </c>
      <c r="K31" s="21">
        <v>0</v>
      </c>
      <c r="L31" s="22">
        <f t="shared" si="0"/>
        <v>0</v>
      </c>
      <c r="M31" s="25"/>
    </row>
    <row r="32" spans="1:13" x14ac:dyDescent="0.25">
      <c r="A32" t="s">
        <v>1565</v>
      </c>
      <c r="B32" s="7" t="s">
        <v>607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1">
        <v>0</v>
      </c>
      <c r="I32" s="21"/>
      <c r="J32" s="21">
        <v>0</v>
      </c>
      <c r="K32" s="21">
        <v>0</v>
      </c>
      <c r="L32" s="22">
        <f t="shared" si="0"/>
        <v>0</v>
      </c>
      <c r="M32" s="25"/>
    </row>
    <row r="33" spans="1:13" x14ac:dyDescent="0.25">
      <c r="C33" s="22"/>
      <c r="D33" s="22"/>
      <c r="E33" s="22"/>
      <c r="F33" s="22"/>
      <c r="G33" s="22"/>
      <c r="H33" s="21"/>
      <c r="I33" s="21"/>
      <c r="J33" s="21"/>
      <c r="K33" s="21"/>
      <c r="L33" s="22"/>
      <c r="M33" s="25"/>
    </row>
    <row r="34" spans="1:13" x14ac:dyDescent="0.25">
      <c r="C34" s="22"/>
      <c r="D34" s="22"/>
      <c r="E34" s="22"/>
      <c r="F34" s="22"/>
      <c r="G34" s="22"/>
      <c r="H34" s="21"/>
      <c r="I34" s="21"/>
      <c r="J34" s="21"/>
      <c r="K34" s="21"/>
      <c r="L34" s="22"/>
      <c r="M34" s="25"/>
    </row>
    <row r="35" spans="1:13" x14ac:dyDescent="0.25">
      <c r="A35" t="s">
        <v>109</v>
      </c>
      <c r="C35" s="22"/>
      <c r="D35" s="22"/>
      <c r="E35" s="22"/>
      <c r="F35" s="22"/>
      <c r="G35" s="22"/>
      <c r="H35" s="21"/>
      <c r="I35" s="21"/>
      <c r="J35" s="21"/>
      <c r="K35" s="21"/>
      <c r="L35" s="22"/>
      <c r="M35" s="25"/>
    </row>
    <row r="36" spans="1:13" x14ac:dyDescent="0.25">
      <c r="B36" t="s">
        <v>441</v>
      </c>
      <c r="C36" s="20">
        <f t="shared" ref="C36:H36" si="1">SUM(C13:C32)</f>
        <v>269745</v>
      </c>
      <c r="D36" s="20">
        <f t="shared" si="1"/>
        <v>5931</v>
      </c>
      <c r="E36" s="20">
        <f t="shared" si="1"/>
        <v>0</v>
      </c>
      <c r="F36" s="20">
        <f t="shared" si="1"/>
        <v>0</v>
      </c>
      <c r="G36" s="20">
        <f t="shared" si="1"/>
        <v>0</v>
      </c>
      <c r="H36" s="20">
        <f t="shared" si="1"/>
        <v>0</v>
      </c>
      <c r="I36" s="20"/>
      <c r="J36" s="20">
        <f>SUM(J13:J32)</f>
        <v>0</v>
      </c>
      <c r="K36" s="20">
        <f>SUM(K13:K32)</f>
        <v>0</v>
      </c>
      <c r="L36" s="20">
        <f>SUM(L13:L32)</f>
        <v>0</v>
      </c>
      <c r="M36" s="25"/>
    </row>
    <row r="37" spans="1:13" x14ac:dyDescent="0.25">
      <c r="C37" s="22"/>
      <c r="D37" s="22"/>
      <c r="E37" s="22"/>
      <c r="F37" s="22"/>
      <c r="G37" s="22"/>
      <c r="H37" s="21"/>
      <c r="I37" s="21"/>
      <c r="J37" s="21"/>
      <c r="K37" s="21"/>
      <c r="L37" s="22"/>
      <c r="M37" s="25"/>
    </row>
    <row r="38" spans="1:13" x14ac:dyDescent="0.25">
      <c r="A38" t="s">
        <v>478</v>
      </c>
      <c r="C38" s="22"/>
      <c r="D38" s="22"/>
      <c r="E38" s="22"/>
      <c r="F38" s="22"/>
      <c r="G38" s="22"/>
      <c r="H38" s="21"/>
      <c r="I38" s="21"/>
      <c r="J38" s="21"/>
      <c r="K38" s="21"/>
      <c r="L38" s="22"/>
      <c r="M38" s="25"/>
    </row>
    <row r="39" spans="1:13" x14ac:dyDescent="0.25">
      <c r="A39" t="s">
        <v>18</v>
      </c>
      <c r="B39" s="7" t="s">
        <v>21</v>
      </c>
      <c r="C39" s="22"/>
      <c r="D39" s="22"/>
      <c r="E39" s="22"/>
      <c r="F39" s="22"/>
      <c r="G39" s="22"/>
      <c r="H39" s="21"/>
      <c r="I39" s="21"/>
      <c r="J39" s="21"/>
      <c r="K39" s="21"/>
      <c r="L39" s="22"/>
      <c r="M39" s="25"/>
    </row>
    <row r="40" spans="1:13" x14ac:dyDescent="0.25">
      <c r="A40" t="s">
        <v>1566</v>
      </c>
      <c r="B40" s="7" t="s">
        <v>445</v>
      </c>
      <c r="C40" s="22">
        <v>0</v>
      </c>
      <c r="D40" s="22">
        <v>0</v>
      </c>
      <c r="E40" s="22">
        <v>76</v>
      </c>
      <c r="F40" s="22">
        <v>83</v>
      </c>
      <c r="G40" s="22">
        <v>448.05</v>
      </c>
      <c r="H40" s="21">
        <v>448.05</v>
      </c>
      <c r="I40" s="21"/>
      <c r="J40" s="21">
        <f>G40*10%+G40</f>
        <v>492.85500000000002</v>
      </c>
      <c r="K40" s="21">
        <v>0</v>
      </c>
      <c r="L40" s="22">
        <f>SUM(J40+K40)</f>
        <v>492.85500000000002</v>
      </c>
      <c r="M40" s="25"/>
    </row>
    <row r="41" spans="1:13" x14ac:dyDescent="0.25">
      <c r="A41" t="s">
        <v>1567</v>
      </c>
      <c r="B41" s="7" t="s">
        <v>449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1">
        <v>0</v>
      </c>
      <c r="I41" s="21"/>
      <c r="J41" s="21">
        <v>0</v>
      </c>
      <c r="K41" s="21">
        <v>0</v>
      </c>
      <c r="L41" s="22">
        <f t="shared" ref="L41:L49" si="2">SUM(J41+K41)</f>
        <v>0</v>
      </c>
      <c r="M41" s="25"/>
    </row>
    <row r="42" spans="1:13" x14ac:dyDescent="0.25">
      <c r="A42" t="s">
        <v>1568</v>
      </c>
      <c r="B42" s="7" t="s">
        <v>451</v>
      </c>
      <c r="C42" s="22">
        <v>4759</v>
      </c>
      <c r="D42" s="22">
        <v>0</v>
      </c>
      <c r="E42" s="22">
        <v>0</v>
      </c>
      <c r="F42" s="22">
        <v>0</v>
      </c>
      <c r="G42" s="22">
        <v>0</v>
      </c>
      <c r="H42" s="21">
        <v>0</v>
      </c>
      <c r="I42" s="21"/>
      <c r="J42" s="21">
        <v>0</v>
      </c>
      <c r="K42" s="21">
        <v>0</v>
      </c>
      <c r="L42" s="22">
        <f t="shared" si="2"/>
        <v>0</v>
      </c>
      <c r="M42" s="25"/>
    </row>
    <row r="43" spans="1:13" x14ac:dyDescent="0.25">
      <c r="A43" t="s">
        <v>1569</v>
      </c>
      <c r="B43" s="7" t="s">
        <v>457</v>
      </c>
      <c r="C43" s="22">
        <v>0</v>
      </c>
      <c r="D43" s="22">
        <v>45</v>
      </c>
      <c r="E43" s="22">
        <v>0</v>
      </c>
      <c r="F43" s="22">
        <v>0</v>
      </c>
      <c r="G43" s="22">
        <v>0</v>
      </c>
      <c r="H43" s="21">
        <v>0</v>
      </c>
      <c r="I43" s="21"/>
      <c r="J43" s="21">
        <v>0</v>
      </c>
      <c r="K43" s="21">
        <v>0</v>
      </c>
      <c r="L43" s="22">
        <f t="shared" si="2"/>
        <v>0</v>
      </c>
      <c r="M43" s="25"/>
    </row>
    <row r="44" spans="1:13" x14ac:dyDescent="0.25">
      <c r="A44" t="s">
        <v>1570</v>
      </c>
      <c r="B44" s="7" t="s">
        <v>465</v>
      </c>
      <c r="C44" s="22">
        <v>11268</v>
      </c>
      <c r="D44" s="22">
        <v>2892</v>
      </c>
      <c r="E44" s="22">
        <v>3281</v>
      </c>
      <c r="F44" s="22">
        <v>4800</v>
      </c>
      <c r="G44" s="22">
        <v>3402.24</v>
      </c>
      <c r="H44" s="21">
        <v>4800</v>
      </c>
      <c r="I44" s="21"/>
      <c r="J44" s="21">
        <v>6800</v>
      </c>
      <c r="K44" s="21">
        <v>0</v>
      </c>
      <c r="L44" s="22">
        <f t="shared" si="2"/>
        <v>6800</v>
      </c>
      <c r="M44" s="25"/>
    </row>
    <row r="45" spans="1:13" x14ac:dyDescent="0.25">
      <c r="A45" t="s">
        <v>1571</v>
      </c>
      <c r="B45" s="7" t="s">
        <v>471</v>
      </c>
      <c r="C45" s="22">
        <v>24228</v>
      </c>
      <c r="D45" s="22">
        <v>6133</v>
      </c>
      <c r="E45" s="22">
        <v>6367</v>
      </c>
      <c r="F45" s="22">
        <v>10000</v>
      </c>
      <c r="G45" s="22">
        <v>6956.99</v>
      </c>
      <c r="H45" s="21">
        <v>9000</v>
      </c>
      <c r="I45" s="21"/>
      <c r="J45" s="21">
        <v>10000</v>
      </c>
      <c r="K45" s="21">
        <v>0</v>
      </c>
      <c r="L45" s="22">
        <f t="shared" si="2"/>
        <v>10000</v>
      </c>
      <c r="M45" s="25"/>
    </row>
    <row r="46" spans="1:13" x14ac:dyDescent="0.25">
      <c r="A46" t="s">
        <v>1572</v>
      </c>
      <c r="B46" s="7" t="s">
        <v>473</v>
      </c>
      <c r="C46" s="22">
        <v>36721</v>
      </c>
      <c r="D46" s="22">
        <v>7979</v>
      </c>
      <c r="E46" s="22">
        <v>7501</v>
      </c>
      <c r="F46" s="22">
        <v>16000</v>
      </c>
      <c r="G46" s="22">
        <v>5265.18</v>
      </c>
      <c r="H46" s="21">
        <v>7500</v>
      </c>
      <c r="I46" s="21"/>
      <c r="J46" s="21">
        <v>7500</v>
      </c>
      <c r="K46" s="21">
        <v>0</v>
      </c>
      <c r="L46" s="22">
        <f t="shared" si="2"/>
        <v>7500</v>
      </c>
      <c r="M46" s="25"/>
    </row>
    <row r="47" spans="1:13" x14ac:dyDescent="0.25">
      <c r="A47" t="s">
        <v>1573</v>
      </c>
      <c r="B47" s="7" t="s">
        <v>1241</v>
      </c>
      <c r="C47" s="22">
        <v>760</v>
      </c>
      <c r="D47" s="22">
        <v>0</v>
      </c>
      <c r="E47" s="22">
        <v>0</v>
      </c>
      <c r="F47" s="22">
        <v>0</v>
      </c>
      <c r="G47" s="22">
        <v>0</v>
      </c>
      <c r="H47" s="21">
        <v>0</v>
      </c>
      <c r="I47" s="21"/>
      <c r="J47" s="21">
        <v>0</v>
      </c>
      <c r="K47" s="21">
        <v>0</v>
      </c>
      <c r="L47" s="22">
        <f t="shared" si="2"/>
        <v>0</v>
      </c>
      <c r="M47" s="25"/>
    </row>
    <row r="48" spans="1:13" x14ac:dyDescent="0.25">
      <c r="A48" t="s">
        <v>1574</v>
      </c>
      <c r="B48" s="7" t="s">
        <v>475</v>
      </c>
      <c r="C48" s="22">
        <v>777</v>
      </c>
      <c r="D48" s="22">
        <v>0</v>
      </c>
      <c r="E48" s="22">
        <v>0</v>
      </c>
      <c r="F48" s="22">
        <v>500</v>
      </c>
      <c r="G48" s="22">
        <v>0</v>
      </c>
      <c r="H48" s="21">
        <v>0</v>
      </c>
      <c r="I48" s="21"/>
      <c r="J48" s="21">
        <v>0</v>
      </c>
      <c r="K48" s="21">
        <v>0</v>
      </c>
      <c r="L48" s="22">
        <f t="shared" si="2"/>
        <v>0</v>
      </c>
      <c r="M48" s="25"/>
    </row>
    <row r="49" spans="1:13" x14ac:dyDescent="0.25">
      <c r="A49" t="s">
        <v>1575</v>
      </c>
      <c r="B49" s="7" t="s">
        <v>762</v>
      </c>
      <c r="C49" s="22">
        <v>39646</v>
      </c>
      <c r="D49" s="22">
        <v>7881</v>
      </c>
      <c r="E49" s="22">
        <v>6846</v>
      </c>
      <c r="F49" s="22">
        <v>17000</v>
      </c>
      <c r="G49" s="22">
        <v>69.7</v>
      </c>
      <c r="H49" s="23">
        <v>1500</v>
      </c>
      <c r="I49" s="21"/>
      <c r="J49" s="23">
        <v>5000</v>
      </c>
      <c r="K49" s="21">
        <v>0</v>
      </c>
      <c r="L49" s="22">
        <f t="shared" si="2"/>
        <v>5000</v>
      </c>
      <c r="M49" s="25"/>
    </row>
    <row r="50" spans="1:13" x14ac:dyDescent="0.25">
      <c r="C50" s="22"/>
      <c r="D50" s="22"/>
      <c r="E50" s="22"/>
      <c r="F50" s="22"/>
      <c r="G50" s="22"/>
      <c r="H50" s="21"/>
      <c r="I50" s="21"/>
      <c r="J50" s="21"/>
      <c r="K50" s="21"/>
      <c r="L50" s="22"/>
      <c r="M50" s="25"/>
    </row>
    <row r="51" spans="1:13" x14ac:dyDescent="0.25">
      <c r="C51" s="22"/>
      <c r="D51" s="22"/>
      <c r="E51" s="22"/>
      <c r="F51" s="22"/>
      <c r="G51" s="22"/>
      <c r="H51" s="21"/>
      <c r="I51" s="21"/>
      <c r="J51" s="21"/>
      <c r="K51" s="21"/>
      <c r="L51" s="22"/>
      <c r="M51" s="25"/>
    </row>
    <row r="52" spans="1:13" x14ac:dyDescent="0.25">
      <c r="A52" t="s">
        <v>109</v>
      </c>
      <c r="C52" s="22"/>
      <c r="D52" s="22"/>
      <c r="E52" s="22"/>
      <c r="F52" s="22"/>
      <c r="G52" s="22"/>
      <c r="H52" s="21"/>
      <c r="I52" s="21"/>
      <c r="J52" s="21"/>
      <c r="K52" s="21"/>
      <c r="L52" s="22"/>
      <c r="M52" s="25"/>
    </row>
    <row r="53" spans="1:13" x14ac:dyDescent="0.25">
      <c r="B53" t="s">
        <v>478</v>
      </c>
      <c r="C53" s="20">
        <f t="shared" ref="C53:H53" si="3">SUM(C40:C49)</f>
        <v>118159</v>
      </c>
      <c r="D53" s="20">
        <f t="shared" si="3"/>
        <v>24930</v>
      </c>
      <c r="E53" s="20">
        <f t="shared" si="3"/>
        <v>24071</v>
      </c>
      <c r="F53" s="20">
        <f t="shared" si="3"/>
        <v>48383</v>
      </c>
      <c r="G53" s="20">
        <f t="shared" si="3"/>
        <v>16142.16</v>
      </c>
      <c r="H53" s="20">
        <f t="shared" si="3"/>
        <v>23248.05</v>
      </c>
      <c r="I53" s="20"/>
      <c r="J53" s="20">
        <f>SUM(J40:J49)</f>
        <v>29792.855</v>
      </c>
      <c r="K53" s="20">
        <f>SUM(K40:K49)</f>
        <v>0</v>
      </c>
      <c r="L53" s="20">
        <f>SUM(L40:L49)</f>
        <v>29792.855</v>
      </c>
      <c r="M53" s="25"/>
    </row>
    <row r="54" spans="1:13" x14ac:dyDescent="0.25">
      <c r="A54" t="s">
        <v>110</v>
      </c>
      <c r="C54" s="22"/>
      <c r="D54" s="22"/>
      <c r="E54" s="22"/>
      <c r="F54" s="22"/>
      <c r="G54" s="22"/>
      <c r="H54" s="21"/>
      <c r="I54" s="21"/>
      <c r="J54" s="21"/>
      <c r="K54" s="21"/>
      <c r="L54" s="22"/>
      <c r="M54" s="25"/>
    </row>
    <row r="55" spans="1:13" x14ac:dyDescent="0.25">
      <c r="A55" t="s">
        <v>489</v>
      </c>
      <c r="C55" s="22"/>
      <c r="D55" s="22"/>
      <c r="E55" s="22"/>
      <c r="F55" s="22"/>
      <c r="G55" s="22"/>
      <c r="H55" s="21"/>
      <c r="I55" s="21"/>
      <c r="J55" s="21"/>
      <c r="K55" s="21"/>
      <c r="L55" s="22"/>
      <c r="M55" s="25"/>
    </row>
    <row r="56" spans="1:13" x14ac:dyDescent="0.25">
      <c r="A56" t="s">
        <v>18</v>
      </c>
      <c r="C56" s="22"/>
      <c r="D56" s="22"/>
      <c r="E56" s="22"/>
      <c r="F56" s="22"/>
      <c r="G56" s="22"/>
      <c r="H56" s="21"/>
      <c r="I56" s="21"/>
      <c r="J56" s="21"/>
      <c r="K56" s="21"/>
      <c r="L56" s="22"/>
      <c r="M56" s="25"/>
    </row>
    <row r="57" spans="1:13" x14ac:dyDescent="0.25">
      <c r="A57" t="s">
        <v>1576</v>
      </c>
      <c r="B57" s="7" t="s">
        <v>491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1">
        <v>0</v>
      </c>
      <c r="I57" s="21"/>
      <c r="J57" s="21">
        <v>0</v>
      </c>
      <c r="K57" s="21">
        <v>0</v>
      </c>
      <c r="L57" s="22">
        <f>SUM(J57+K57)</f>
        <v>0</v>
      </c>
      <c r="M57" s="25"/>
    </row>
    <row r="58" spans="1:13" x14ac:dyDescent="0.25">
      <c r="A58" t="s">
        <v>1577</v>
      </c>
      <c r="B58" s="7" t="s">
        <v>493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1">
        <v>0</v>
      </c>
      <c r="I58" s="21"/>
      <c r="J58" s="21">
        <v>0</v>
      </c>
      <c r="K58" s="21">
        <v>0</v>
      </c>
      <c r="L58" s="22">
        <f t="shared" ref="L58:L61" si="4">SUM(J58+K58)</f>
        <v>0</v>
      </c>
      <c r="M58" s="25"/>
    </row>
    <row r="59" spans="1:13" x14ac:dyDescent="0.25">
      <c r="A59" t="s">
        <v>1578</v>
      </c>
      <c r="B59" s="7" t="s">
        <v>489</v>
      </c>
      <c r="C59" s="22">
        <v>832</v>
      </c>
      <c r="D59" s="22">
        <v>0</v>
      </c>
      <c r="E59" s="22">
        <v>0</v>
      </c>
      <c r="F59" s="22">
        <v>500</v>
      </c>
      <c r="G59" s="22">
        <v>0</v>
      </c>
      <c r="H59" s="21">
        <v>500</v>
      </c>
      <c r="I59" s="21"/>
      <c r="J59" s="21">
        <v>500</v>
      </c>
      <c r="K59" s="21">
        <v>0</v>
      </c>
      <c r="L59" s="22">
        <f t="shared" si="4"/>
        <v>500</v>
      </c>
      <c r="M59" s="25"/>
    </row>
    <row r="60" spans="1:13" hidden="1" x14ac:dyDescent="0.25">
      <c r="A60" t="s">
        <v>1579</v>
      </c>
      <c r="B60" s="7" t="s">
        <v>498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1">
        <v>0</v>
      </c>
      <c r="I60" s="21"/>
      <c r="J60" s="21">
        <v>0</v>
      </c>
      <c r="K60" s="21">
        <v>0</v>
      </c>
      <c r="L60" s="22">
        <f t="shared" si="4"/>
        <v>0</v>
      </c>
      <c r="M60" s="25"/>
    </row>
    <row r="61" spans="1:13" hidden="1" x14ac:dyDescent="0.25">
      <c r="A61" t="s">
        <v>1580</v>
      </c>
      <c r="B61" s="7" t="s">
        <v>500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1">
        <v>0</v>
      </c>
      <c r="I61" s="21"/>
      <c r="J61" s="21">
        <v>0</v>
      </c>
      <c r="K61" s="21">
        <v>0</v>
      </c>
      <c r="L61" s="22">
        <f t="shared" si="4"/>
        <v>0</v>
      </c>
      <c r="M61" s="25"/>
    </row>
    <row r="62" spans="1:13" x14ac:dyDescent="0.25">
      <c r="C62" s="22"/>
      <c r="D62" s="22"/>
      <c r="E62" s="22"/>
      <c r="F62" s="22"/>
      <c r="G62" s="22"/>
      <c r="H62" s="21"/>
      <c r="I62" s="21"/>
      <c r="J62" s="21"/>
      <c r="K62" s="21"/>
      <c r="L62" s="22"/>
      <c r="M62" s="25"/>
    </row>
    <row r="63" spans="1:13" x14ac:dyDescent="0.25">
      <c r="C63" s="22"/>
      <c r="D63" s="22"/>
      <c r="E63" s="22"/>
      <c r="F63" s="22"/>
      <c r="G63" s="22"/>
      <c r="H63" s="21"/>
      <c r="I63" s="21"/>
      <c r="J63" s="21"/>
      <c r="K63" s="21"/>
      <c r="L63" s="22"/>
      <c r="M63" s="25"/>
    </row>
    <row r="64" spans="1:13" x14ac:dyDescent="0.25">
      <c r="A64" t="s">
        <v>109</v>
      </c>
      <c r="C64" s="22"/>
      <c r="D64" s="22"/>
      <c r="E64" s="22"/>
      <c r="F64" s="22"/>
      <c r="G64" s="22"/>
      <c r="H64" s="21"/>
      <c r="I64" s="21"/>
      <c r="J64" s="21"/>
      <c r="K64" s="21"/>
      <c r="L64" s="22"/>
      <c r="M64" s="25"/>
    </row>
    <row r="65" spans="1:13" x14ac:dyDescent="0.25">
      <c r="B65" t="s">
        <v>489</v>
      </c>
      <c r="C65" s="20">
        <f t="shared" ref="C65:H65" si="5">SUM(C57:C61)</f>
        <v>832</v>
      </c>
      <c r="D65" s="20">
        <f t="shared" si="5"/>
        <v>0</v>
      </c>
      <c r="E65" s="20">
        <f t="shared" si="5"/>
        <v>0</v>
      </c>
      <c r="F65" s="20">
        <f t="shared" si="5"/>
        <v>500</v>
      </c>
      <c r="G65" s="20">
        <f t="shared" si="5"/>
        <v>0</v>
      </c>
      <c r="H65" s="20">
        <f t="shared" si="5"/>
        <v>500</v>
      </c>
      <c r="I65" s="20"/>
      <c r="J65" s="20">
        <f>SUM(J57:J61)</f>
        <v>500</v>
      </c>
      <c r="K65" s="20">
        <f>SUM(K57:K61)</f>
        <v>0</v>
      </c>
      <c r="L65" s="20">
        <f>SUM(L57:L61)</f>
        <v>500</v>
      </c>
      <c r="M65" s="25"/>
    </row>
    <row r="66" spans="1:13" x14ac:dyDescent="0.25">
      <c r="C66" s="22"/>
      <c r="D66" s="22"/>
      <c r="E66" s="22"/>
      <c r="F66" s="22"/>
      <c r="G66" s="22"/>
      <c r="H66" s="21"/>
      <c r="I66" s="21"/>
      <c r="J66" s="21"/>
      <c r="K66" s="21"/>
      <c r="L66" s="22"/>
      <c r="M66" s="25"/>
    </row>
    <row r="67" spans="1:13" x14ac:dyDescent="0.25">
      <c r="A67" t="s">
        <v>501</v>
      </c>
      <c r="C67" s="22"/>
      <c r="D67" s="22"/>
      <c r="E67" s="22"/>
      <c r="F67" s="22"/>
      <c r="G67" s="22"/>
      <c r="H67" s="21"/>
      <c r="I67" s="21"/>
      <c r="J67" s="21"/>
      <c r="K67" s="21"/>
      <c r="L67" s="22"/>
      <c r="M67" s="25"/>
    </row>
    <row r="68" spans="1:13" x14ac:dyDescent="0.25">
      <c r="A68" t="s">
        <v>18</v>
      </c>
      <c r="C68" s="22"/>
      <c r="D68" s="22"/>
      <c r="E68" s="22"/>
      <c r="F68" s="22"/>
      <c r="G68" s="22"/>
      <c r="H68" s="21"/>
      <c r="I68" s="21"/>
      <c r="J68" s="21"/>
      <c r="K68" s="21"/>
      <c r="L68" s="22"/>
      <c r="M68" s="25"/>
    </row>
    <row r="69" spans="1:13" x14ac:dyDescent="0.25">
      <c r="A69" t="s">
        <v>1582</v>
      </c>
      <c r="B69" s="7" t="s">
        <v>503</v>
      </c>
      <c r="C69" s="22">
        <v>30649</v>
      </c>
      <c r="D69" s="22">
        <v>0</v>
      </c>
      <c r="E69" s="22">
        <v>500</v>
      </c>
      <c r="F69" s="22">
        <v>0</v>
      </c>
      <c r="G69" s="22">
        <v>0</v>
      </c>
      <c r="H69" s="21">
        <v>0</v>
      </c>
      <c r="I69" s="21"/>
      <c r="J69" s="21">
        <v>0</v>
      </c>
      <c r="K69" s="21">
        <v>0</v>
      </c>
      <c r="L69" s="22">
        <f>SUM(J69+K69)</f>
        <v>0</v>
      </c>
      <c r="M69" s="25"/>
    </row>
    <row r="70" spans="1:13" x14ac:dyDescent="0.25">
      <c r="A70" t="s">
        <v>1583</v>
      </c>
      <c r="B70" s="7" t="s">
        <v>519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1">
        <v>0</v>
      </c>
      <c r="I70" s="21"/>
      <c r="J70" s="21">
        <v>0</v>
      </c>
      <c r="K70" s="21">
        <v>0</v>
      </c>
      <c r="L70" s="22">
        <f t="shared" ref="L70:L71" si="6">SUM(J70+K70)</f>
        <v>0</v>
      </c>
      <c r="M70" s="25"/>
    </row>
    <row r="71" spans="1:13" x14ac:dyDescent="0.25">
      <c r="A71" t="s">
        <v>1584</v>
      </c>
      <c r="B71" s="7" t="s">
        <v>521</v>
      </c>
      <c r="C71" s="22">
        <v>78796</v>
      </c>
      <c r="D71" s="22">
        <v>17258</v>
      </c>
      <c r="E71" s="22">
        <v>14770</v>
      </c>
      <c r="F71" s="22">
        <v>35000</v>
      </c>
      <c r="G71" s="22">
        <v>36992.32</v>
      </c>
      <c r="H71" s="21">
        <v>37500</v>
      </c>
      <c r="I71" s="21"/>
      <c r="J71" s="21">
        <v>35000</v>
      </c>
      <c r="K71" s="21">
        <v>0</v>
      </c>
      <c r="L71" s="22">
        <f t="shared" si="6"/>
        <v>35000</v>
      </c>
      <c r="M71" s="25"/>
    </row>
    <row r="72" spans="1:13" x14ac:dyDescent="0.25">
      <c r="C72" s="22"/>
      <c r="D72" s="22"/>
      <c r="E72" s="22"/>
      <c r="F72" s="22"/>
      <c r="G72" s="22"/>
      <c r="H72" s="21"/>
      <c r="I72" s="21"/>
      <c r="J72" s="21"/>
      <c r="K72" s="21"/>
      <c r="L72" s="22"/>
      <c r="M72" s="25"/>
    </row>
    <row r="73" spans="1:13" x14ac:dyDescent="0.25">
      <c r="C73" s="22"/>
      <c r="D73" s="22"/>
      <c r="E73" s="22"/>
      <c r="F73" s="22"/>
      <c r="G73" s="22"/>
      <c r="H73" s="21"/>
      <c r="I73" s="21"/>
      <c r="J73" s="21"/>
      <c r="K73" s="21"/>
      <c r="L73" s="22"/>
      <c r="M73" s="25"/>
    </row>
    <row r="74" spans="1:13" x14ac:dyDescent="0.25">
      <c r="A74" t="s">
        <v>109</v>
      </c>
      <c r="C74" s="22"/>
      <c r="D74" s="22"/>
      <c r="E74" s="22"/>
      <c r="F74" s="22"/>
      <c r="G74" s="22"/>
      <c r="H74" s="21"/>
      <c r="I74" s="21"/>
      <c r="J74" s="21"/>
      <c r="K74" s="21"/>
      <c r="L74" s="22"/>
      <c r="M74" s="25"/>
    </row>
    <row r="75" spans="1:13" x14ac:dyDescent="0.25">
      <c r="B75" t="s">
        <v>501</v>
      </c>
      <c r="C75" s="20">
        <f t="shared" ref="C75:H75" si="7">SUM(C69:C71)</f>
        <v>109445</v>
      </c>
      <c r="D75" s="20">
        <f t="shared" si="7"/>
        <v>17258</v>
      </c>
      <c r="E75" s="20">
        <f t="shared" si="7"/>
        <v>15270</v>
      </c>
      <c r="F75" s="20">
        <f t="shared" si="7"/>
        <v>35000</v>
      </c>
      <c r="G75" s="20">
        <f t="shared" si="7"/>
        <v>36992.32</v>
      </c>
      <c r="H75" s="20">
        <f t="shared" si="7"/>
        <v>37500</v>
      </c>
      <c r="I75" s="20"/>
      <c r="J75" s="20">
        <f>SUM(J69:J71)</f>
        <v>35000</v>
      </c>
      <c r="K75" s="20">
        <f>SUM(K69:K71)</f>
        <v>0</v>
      </c>
      <c r="L75" s="20">
        <f>SUM(L69:L71)</f>
        <v>35000</v>
      </c>
      <c r="M75" s="25"/>
    </row>
    <row r="76" spans="1:13" x14ac:dyDescent="0.25">
      <c r="C76" s="22"/>
      <c r="D76" s="22"/>
      <c r="E76" s="22"/>
      <c r="F76" s="22"/>
      <c r="G76" s="22"/>
      <c r="H76" s="21"/>
      <c r="I76" s="21"/>
      <c r="J76" s="21"/>
      <c r="K76" s="21"/>
      <c r="L76" s="22"/>
      <c r="M76" s="25"/>
    </row>
    <row r="77" spans="1:13" x14ac:dyDescent="0.25">
      <c r="A77" t="s">
        <v>530</v>
      </c>
      <c r="C77" s="22"/>
      <c r="D77" s="22"/>
      <c r="E77" s="22"/>
      <c r="F77" s="22"/>
      <c r="G77" s="22"/>
      <c r="H77" s="21"/>
      <c r="I77" s="21"/>
      <c r="J77" s="21"/>
      <c r="K77" s="21"/>
      <c r="L77" s="22"/>
      <c r="M77" s="25"/>
    </row>
    <row r="78" spans="1:13" x14ac:dyDescent="0.25">
      <c r="A78" t="s">
        <v>18</v>
      </c>
      <c r="B78" s="7" t="s">
        <v>526</v>
      </c>
      <c r="C78" s="22"/>
      <c r="D78" s="22"/>
      <c r="E78" s="22"/>
      <c r="F78" s="22"/>
      <c r="G78" s="22"/>
      <c r="H78" s="21"/>
      <c r="I78" s="21"/>
      <c r="J78" s="21"/>
      <c r="K78" s="21"/>
      <c r="L78" s="22"/>
      <c r="M78" s="25"/>
    </row>
    <row r="79" spans="1:13" x14ac:dyDescent="0.25">
      <c r="A79" t="s">
        <v>1585</v>
      </c>
      <c r="B79" s="7" t="s">
        <v>1282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1">
        <v>0</v>
      </c>
      <c r="I79" s="21"/>
      <c r="J79" s="21">
        <v>0</v>
      </c>
      <c r="K79" s="21">
        <v>0</v>
      </c>
      <c r="L79" s="22">
        <f>SUM(J79+K79)</f>
        <v>0</v>
      </c>
      <c r="M79" s="25"/>
    </row>
    <row r="80" spans="1:13" x14ac:dyDescent="0.25">
      <c r="A80" t="s">
        <v>1586</v>
      </c>
      <c r="B80" s="7" t="s">
        <v>534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1">
        <v>0</v>
      </c>
      <c r="I80" s="21"/>
      <c r="J80" s="21">
        <v>0</v>
      </c>
      <c r="K80" s="21">
        <v>0</v>
      </c>
      <c r="L80" s="22">
        <f t="shared" ref="L80:L81" si="8">SUM(J80+K80)</f>
        <v>0</v>
      </c>
      <c r="M80" s="25"/>
    </row>
    <row r="81" spans="1:13" x14ac:dyDescent="0.25">
      <c r="A81" t="s">
        <v>1587</v>
      </c>
      <c r="B81" s="7" t="s">
        <v>728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1">
        <v>0</v>
      </c>
      <c r="I81" s="21"/>
      <c r="J81" s="21">
        <v>0</v>
      </c>
      <c r="K81" s="21">
        <v>0</v>
      </c>
      <c r="L81" s="22">
        <f t="shared" si="8"/>
        <v>0</v>
      </c>
      <c r="M81" s="25"/>
    </row>
    <row r="82" spans="1:13" x14ac:dyDescent="0.25">
      <c r="C82" s="22"/>
      <c r="D82" s="22"/>
      <c r="E82" s="22"/>
      <c r="F82" s="22"/>
      <c r="G82" s="22"/>
      <c r="H82" s="21"/>
      <c r="I82" s="21"/>
      <c r="J82" s="21"/>
      <c r="K82" s="21"/>
      <c r="L82" s="22"/>
      <c r="M82" s="25"/>
    </row>
    <row r="83" spans="1:13" x14ac:dyDescent="0.25">
      <c r="C83" s="22"/>
      <c r="D83" s="22"/>
      <c r="E83" s="22"/>
      <c r="F83" s="22"/>
      <c r="G83" s="22"/>
      <c r="H83" s="21"/>
      <c r="I83" s="21"/>
      <c r="J83" s="21"/>
      <c r="K83" s="21"/>
      <c r="L83" s="22"/>
      <c r="M83" s="25"/>
    </row>
    <row r="84" spans="1:13" x14ac:dyDescent="0.25">
      <c r="A84" t="s">
        <v>109</v>
      </c>
      <c r="C84" s="22"/>
      <c r="D84" s="22"/>
      <c r="E84" s="22"/>
      <c r="F84" s="22"/>
      <c r="G84" s="22"/>
      <c r="H84" s="21"/>
      <c r="I84" s="21"/>
      <c r="J84" s="21"/>
      <c r="K84" s="21"/>
      <c r="L84" s="22"/>
      <c r="M84" s="25"/>
    </row>
    <row r="85" spans="1:13" x14ac:dyDescent="0.25">
      <c r="B85" t="s">
        <v>530</v>
      </c>
      <c r="C85" s="20">
        <f t="shared" ref="C85:H85" si="9">SUM(C79:C81)</f>
        <v>0</v>
      </c>
      <c r="D85" s="20">
        <f t="shared" si="9"/>
        <v>0</v>
      </c>
      <c r="E85" s="20">
        <f t="shared" si="9"/>
        <v>0</v>
      </c>
      <c r="F85" s="20">
        <f t="shared" si="9"/>
        <v>0</v>
      </c>
      <c r="G85" s="20">
        <f t="shared" si="9"/>
        <v>0</v>
      </c>
      <c r="H85" s="20">
        <f t="shared" si="9"/>
        <v>0</v>
      </c>
      <c r="I85" s="20"/>
      <c r="J85" s="20">
        <f>SUM(J79:J81)</f>
        <v>0</v>
      </c>
      <c r="K85" s="20">
        <f>SUM(K79:K81)</f>
        <v>0</v>
      </c>
      <c r="L85" s="20">
        <f>SUM(L79:L81)</f>
        <v>0</v>
      </c>
      <c r="M85" s="25"/>
    </row>
    <row r="86" spans="1:13" x14ac:dyDescent="0.25">
      <c r="C86" s="22"/>
      <c r="D86" s="22"/>
      <c r="E86" s="22"/>
      <c r="F86" s="22"/>
      <c r="G86" s="22"/>
      <c r="H86" s="21"/>
      <c r="I86" s="21"/>
      <c r="J86" s="21"/>
      <c r="K86" s="21"/>
      <c r="L86" s="22"/>
      <c r="M86" s="25"/>
    </row>
    <row r="87" spans="1:13" x14ac:dyDescent="0.25">
      <c r="C87" s="22"/>
      <c r="D87" s="22"/>
      <c r="E87" s="22"/>
      <c r="F87" s="22"/>
      <c r="G87" s="22"/>
      <c r="H87" s="21"/>
      <c r="I87" s="21"/>
      <c r="J87" s="21"/>
      <c r="K87" s="21"/>
      <c r="L87" s="22"/>
      <c r="M87" s="25"/>
    </row>
    <row r="88" spans="1:13" x14ac:dyDescent="0.25">
      <c r="A88" t="s">
        <v>109</v>
      </c>
      <c r="C88" s="22"/>
      <c r="D88" s="22"/>
      <c r="E88" s="22"/>
      <c r="F88" s="22"/>
      <c r="G88" s="22"/>
      <c r="H88" s="21"/>
      <c r="I88" s="21"/>
      <c r="J88" s="21"/>
      <c r="K88" s="21"/>
      <c r="L88" s="22"/>
      <c r="M88" s="25"/>
    </row>
    <row r="89" spans="1:13" x14ac:dyDescent="0.25">
      <c r="A89">
        <v>58</v>
      </c>
      <c r="B89" t="s">
        <v>3731</v>
      </c>
      <c r="C89" s="20">
        <f t="shared" ref="C89:H89" si="10">C36+C53+C65+C75+C85</f>
        <v>498181</v>
      </c>
      <c r="D89" s="20">
        <f t="shared" si="10"/>
        <v>48119</v>
      </c>
      <c r="E89" s="20">
        <f t="shared" si="10"/>
        <v>39341</v>
      </c>
      <c r="F89" s="20">
        <f t="shared" si="10"/>
        <v>83883</v>
      </c>
      <c r="G89" s="20">
        <f t="shared" si="10"/>
        <v>53134.479999999996</v>
      </c>
      <c r="H89" s="20">
        <f t="shared" si="10"/>
        <v>61248.05</v>
      </c>
      <c r="I89" s="20"/>
      <c r="J89" s="20">
        <f>J36+J53+J65+J75+J85</f>
        <v>65292.854999999996</v>
      </c>
      <c r="K89" s="20">
        <f>K36+K53+K65+K75+K85</f>
        <v>0</v>
      </c>
      <c r="L89" s="20">
        <f>L36+L53+L65+L75+L85</f>
        <v>65292.854999999996</v>
      </c>
      <c r="M89" s="25"/>
    </row>
    <row r="90" spans="1:13" x14ac:dyDescent="0.25">
      <c r="C90" s="22"/>
      <c r="D90" s="22"/>
      <c r="E90" s="22"/>
      <c r="F90" s="22"/>
      <c r="G90" s="22"/>
      <c r="H90" s="21"/>
      <c r="I90" s="21"/>
      <c r="J90" s="21"/>
      <c r="K90" s="21"/>
      <c r="L90" s="22"/>
      <c r="M90" s="25"/>
    </row>
    <row r="91" spans="1:13" x14ac:dyDescent="0.25">
      <c r="C91" s="22"/>
      <c r="D91" s="22"/>
      <c r="E91" s="22"/>
      <c r="F91" s="22"/>
      <c r="G91" s="22"/>
      <c r="H91" s="21"/>
      <c r="I91" s="21"/>
      <c r="J91" s="21"/>
      <c r="K91" s="21"/>
      <c r="L91" s="22"/>
      <c r="M91" s="25"/>
    </row>
  </sheetData>
  <sheetProtection algorithmName="SHA-512" hashValue="iyDTN4QT9ngmKl6MFR+azp4B2+QjYgiwxUWrHpgZLKK2zgQaQYqGJIdX+IbnQFuWnT9PMsX+iH+L15KsnXdiAQ==" saltValue="qJzgHBf1uRhN5/DkES9r1w==" spinCount="100000" sheet="1" objects="1" scenarios="1" insertRows="0"/>
  <pageMargins left="0.25" right="0.25" top="0.75" bottom="0.75" header="0.3" footer="0.3"/>
  <pageSetup scale="76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9CC9-1719-49C0-9B5B-089ECC0B45EA}">
  <sheetPr>
    <pageSetUpPr fitToPage="1"/>
  </sheetPr>
  <dimension ref="A1:L106"/>
  <sheetViews>
    <sheetView zoomScaleNormal="100" workbookViewId="0">
      <selection activeCell="J23" sqref="J23"/>
    </sheetView>
  </sheetViews>
  <sheetFormatPr defaultRowHeight="15" x14ac:dyDescent="0.25"/>
  <cols>
    <col min="2" max="2" width="32.5703125" bestFit="1" customWidth="1"/>
    <col min="3" max="3" width="13.28515625" style="12" bestFit="1" customWidth="1"/>
    <col min="4" max="4" width="15" style="12" bestFit="1" customWidth="1"/>
    <col min="5" max="5" width="14" style="12" bestFit="1" customWidth="1"/>
    <col min="6" max="6" width="14.28515625" style="12" bestFit="1" customWidth="1"/>
    <col min="7" max="7" width="12.85546875" style="12" bestFit="1" customWidth="1"/>
    <col min="8" max="8" width="13.28515625" style="12" bestFit="1" customWidth="1"/>
    <col min="9" max="9" width="10.7109375" style="12" customWidth="1"/>
    <col min="10" max="10" width="13.28515625" style="12" bestFit="1" customWidth="1"/>
    <col min="11" max="11" width="14.7109375" style="12" bestFit="1" customWidth="1"/>
    <col min="12" max="12" width="14.140625" style="12" bestFit="1" customWidth="1"/>
  </cols>
  <sheetData>
    <row r="1" spans="1:12" x14ac:dyDescent="0.25">
      <c r="A1" t="s">
        <v>3726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2" t="s">
        <v>4</v>
      </c>
      <c r="J3" s="13" t="s">
        <v>3411</v>
      </c>
      <c r="K3" s="14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/>
      <c r="J4" s="14" t="s">
        <v>3414</v>
      </c>
      <c r="K4" s="14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4" t="s">
        <v>17</v>
      </c>
      <c r="I5" s="14"/>
      <c r="J5" s="14" t="s">
        <v>13</v>
      </c>
      <c r="K5" s="14" t="s">
        <v>3417</v>
      </c>
      <c r="L5" s="14" t="s">
        <v>13</v>
      </c>
    </row>
    <row r="6" spans="1:12" x14ac:dyDescent="0.25">
      <c r="A6" t="s">
        <v>18</v>
      </c>
      <c r="B6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2" t="s">
        <v>20</v>
      </c>
      <c r="J6" s="12" t="s">
        <v>24</v>
      </c>
      <c r="K6" s="12" t="s">
        <v>20</v>
      </c>
      <c r="L6" s="12" t="s">
        <v>20</v>
      </c>
    </row>
    <row r="8" spans="1:12" x14ac:dyDescent="0.25">
      <c r="A8" t="s">
        <v>3732</v>
      </c>
    </row>
    <row r="11" spans="1:12" x14ac:dyDescent="0.25">
      <c r="A11" t="s">
        <v>441</v>
      </c>
    </row>
    <row r="12" spans="1:12" x14ac:dyDescent="0.25">
      <c r="A12" t="s">
        <v>18</v>
      </c>
      <c r="B12" t="s">
        <v>228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x14ac:dyDescent="0.25">
      <c r="A13" t="s">
        <v>2092</v>
      </c>
      <c r="B13" t="s">
        <v>569</v>
      </c>
      <c r="C13" s="22">
        <v>-2019</v>
      </c>
      <c r="D13" s="22">
        <v>4270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2093</v>
      </c>
      <c r="B14" t="s">
        <v>396</v>
      </c>
      <c r="C14" s="22">
        <v>221</v>
      </c>
      <c r="D14" s="22">
        <v>33</v>
      </c>
      <c r="E14" s="22">
        <v>480</v>
      </c>
      <c r="F14" s="22">
        <v>1260</v>
      </c>
      <c r="G14" s="22">
        <v>258.75</v>
      </c>
      <c r="H14" s="21">
        <v>259</v>
      </c>
      <c r="I14" s="21"/>
      <c r="J14" s="21">
        <v>252</v>
      </c>
      <c r="K14" s="21">
        <v>0</v>
      </c>
      <c r="L14" s="22">
        <f t="shared" ref="L14:L35" si="0">SUM(J14+K14)</f>
        <v>252</v>
      </c>
    </row>
    <row r="15" spans="1:12" x14ac:dyDescent="0.25">
      <c r="A15" t="s">
        <v>2094</v>
      </c>
      <c r="B15" t="s">
        <v>398</v>
      </c>
      <c r="C15" s="22">
        <v>19696</v>
      </c>
      <c r="D15" s="22">
        <v>12803</v>
      </c>
      <c r="E15" s="22">
        <v>24179</v>
      </c>
      <c r="F15" s="22">
        <v>35060</v>
      </c>
      <c r="G15" s="22">
        <v>18296.900000000001</v>
      </c>
      <c r="H15" s="21">
        <v>21250</v>
      </c>
      <c r="I15" s="21"/>
      <c r="J15" s="21">
        <v>34981.800000000003</v>
      </c>
      <c r="K15" s="21">
        <v>0</v>
      </c>
      <c r="L15" s="22">
        <f t="shared" si="0"/>
        <v>34981.800000000003</v>
      </c>
    </row>
    <row r="16" spans="1:12" x14ac:dyDescent="0.25">
      <c r="A16" t="s">
        <v>2095</v>
      </c>
      <c r="B16" t="s">
        <v>400</v>
      </c>
      <c r="C16" s="22">
        <v>21007</v>
      </c>
      <c r="D16" s="22">
        <v>14891</v>
      </c>
      <c r="E16" s="22">
        <v>30090</v>
      </c>
      <c r="F16" s="22">
        <v>43771</v>
      </c>
      <c r="G16" s="22">
        <v>20081.259999999998</v>
      </c>
      <c r="H16" s="21">
        <v>23750</v>
      </c>
      <c r="I16" s="21"/>
      <c r="J16" s="21">
        <f>9472.12+29290.87</f>
        <v>38762.99</v>
      </c>
      <c r="K16" s="21">
        <v>0</v>
      </c>
      <c r="L16" s="22">
        <f t="shared" si="0"/>
        <v>38762.99</v>
      </c>
    </row>
    <row r="17" spans="1:12" x14ac:dyDescent="0.25">
      <c r="A17" t="s">
        <v>2096</v>
      </c>
      <c r="B17" t="s">
        <v>402</v>
      </c>
      <c r="C17" s="22">
        <v>38493</v>
      </c>
      <c r="D17" s="22">
        <v>32085</v>
      </c>
      <c r="E17" s="22">
        <v>60940</v>
      </c>
      <c r="F17" s="22">
        <v>89926</v>
      </c>
      <c r="G17" s="22">
        <v>45930.05</v>
      </c>
      <c r="H17" s="21">
        <v>48000</v>
      </c>
      <c r="I17" s="21"/>
      <c r="J17" s="21">
        <v>61818.36</v>
      </c>
      <c r="K17" s="21">
        <v>0</v>
      </c>
      <c r="L17" s="22">
        <f t="shared" si="0"/>
        <v>61818.36</v>
      </c>
    </row>
    <row r="18" spans="1:12" x14ac:dyDescent="0.25">
      <c r="A18" t="s">
        <v>2097</v>
      </c>
      <c r="B18" t="s">
        <v>404</v>
      </c>
      <c r="C18" s="22">
        <v>1941</v>
      </c>
      <c r="D18" s="22">
        <v>1491</v>
      </c>
      <c r="E18" s="22">
        <v>2636</v>
      </c>
      <c r="F18" s="22">
        <v>3270</v>
      </c>
      <c r="G18" s="22">
        <v>2081.4499999999998</v>
      </c>
      <c r="H18" s="21">
        <v>3000</v>
      </c>
      <c r="I18" s="21"/>
      <c r="J18" s="21">
        <v>3600</v>
      </c>
      <c r="K18" s="21">
        <v>0</v>
      </c>
      <c r="L18" s="22">
        <f t="shared" si="0"/>
        <v>3600</v>
      </c>
    </row>
    <row r="19" spans="1:12" x14ac:dyDescent="0.25">
      <c r="A19" t="s">
        <v>2098</v>
      </c>
      <c r="B19" t="s">
        <v>406</v>
      </c>
      <c r="C19" s="22">
        <v>4167</v>
      </c>
      <c r="D19" s="22">
        <v>3140</v>
      </c>
      <c r="E19" s="22">
        <v>974</v>
      </c>
      <c r="F19" s="22">
        <v>1071</v>
      </c>
      <c r="G19" s="22">
        <v>1485.24</v>
      </c>
      <c r="H19" s="21">
        <v>1485</v>
      </c>
      <c r="I19" s="21"/>
      <c r="J19" s="21">
        <f>G19*10%+G19</f>
        <v>1633.7640000000001</v>
      </c>
      <c r="K19" s="21">
        <v>0</v>
      </c>
      <c r="L19" s="22">
        <f t="shared" si="0"/>
        <v>1633.7640000000001</v>
      </c>
    </row>
    <row r="20" spans="1:12" x14ac:dyDescent="0.25">
      <c r="A20" t="s">
        <v>2099</v>
      </c>
      <c r="B20" t="s">
        <v>1200</v>
      </c>
      <c r="C20" s="22">
        <v>0</v>
      </c>
      <c r="D20" s="22">
        <v>111686</v>
      </c>
      <c r="E20" s="22">
        <v>118766</v>
      </c>
      <c r="F20" s="22">
        <v>124704</v>
      </c>
      <c r="G20" s="22">
        <v>101996.78</v>
      </c>
      <c r="H20" s="21">
        <v>101997</v>
      </c>
      <c r="I20" s="21"/>
      <c r="J20" s="21">
        <v>118765.92</v>
      </c>
      <c r="K20" s="21">
        <v>0</v>
      </c>
      <c r="L20" s="22">
        <f t="shared" si="0"/>
        <v>118765.92</v>
      </c>
    </row>
    <row r="21" spans="1:12" x14ac:dyDescent="0.25">
      <c r="A21" t="s">
        <v>2100</v>
      </c>
      <c r="B21" t="s">
        <v>2101</v>
      </c>
      <c r="C21" s="22">
        <v>0</v>
      </c>
      <c r="D21" s="22">
        <v>0</v>
      </c>
      <c r="E21" s="22">
        <v>0</v>
      </c>
      <c r="F21" s="22">
        <v>105000</v>
      </c>
      <c r="G21" s="22">
        <v>46557.73</v>
      </c>
      <c r="H21" s="21">
        <v>58000</v>
      </c>
      <c r="I21" s="21"/>
      <c r="J21" s="21">
        <v>98000</v>
      </c>
      <c r="K21" s="21">
        <v>0</v>
      </c>
      <c r="L21" s="22">
        <f t="shared" si="0"/>
        <v>98000</v>
      </c>
    </row>
    <row r="22" spans="1:12" x14ac:dyDescent="0.25">
      <c r="A22" t="s">
        <v>2102</v>
      </c>
      <c r="B22" t="s">
        <v>1554</v>
      </c>
      <c r="C22" s="22">
        <v>34253</v>
      </c>
      <c r="D22" s="22">
        <v>31584</v>
      </c>
      <c r="E22" s="22">
        <v>58649</v>
      </c>
      <c r="F22" s="22">
        <v>61589</v>
      </c>
      <c r="G22" s="22">
        <v>4214.59</v>
      </c>
      <c r="H22" s="21">
        <v>5250</v>
      </c>
      <c r="I22" s="21"/>
      <c r="J22" s="21">
        <v>70000</v>
      </c>
      <c r="K22" s="21">
        <v>0</v>
      </c>
      <c r="L22" s="22">
        <f t="shared" si="0"/>
        <v>70000</v>
      </c>
    </row>
    <row r="23" spans="1:12" x14ac:dyDescent="0.25">
      <c r="A23" t="s">
        <v>2103</v>
      </c>
      <c r="B23" t="s">
        <v>422</v>
      </c>
      <c r="C23" s="22">
        <v>391</v>
      </c>
      <c r="D23" s="22">
        <v>6000</v>
      </c>
      <c r="E23" s="22">
        <v>6000</v>
      </c>
      <c r="F23" s="22">
        <v>9900</v>
      </c>
      <c r="G23" s="22">
        <v>4384.4399999999996</v>
      </c>
      <c r="H23" s="21">
        <v>4384</v>
      </c>
      <c r="I23" s="21"/>
      <c r="J23" s="21">
        <v>0</v>
      </c>
      <c r="K23" s="21">
        <v>0</v>
      </c>
      <c r="L23" s="22">
        <f t="shared" si="0"/>
        <v>0</v>
      </c>
    </row>
    <row r="24" spans="1:12" x14ac:dyDescent="0.25">
      <c r="A24" t="s">
        <v>2104</v>
      </c>
      <c r="B24" t="s">
        <v>690</v>
      </c>
      <c r="C24" s="22">
        <v>657</v>
      </c>
      <c r="D24" s="22">
        <v>104</v>
      </c>
      <c r="E24" s="22">
        <v>173</v>
      </c>
      <c r="F24" s="22">
        <v>465</v>
      </c>
      <c r="G24" s="22">
        <v>311.41000000000003</v>
      </c>
      <c r="H24" s="21">
        <v>311</v>
      </c>
      <c r="I24" s="21"/>
      <c r="J24" s="21">
        <v>449.82</v>
      </c>
      <c r="K24" s="21">
        <v>0</v>
      </c>
      <c r="L24" s="22">
        <f t="shared" si="0"/>
        <v>449.82</v>
      </c>
    </row>
    <row r="25" spans="1:12" x14ac:dyDescent="0.25">
      <c r="A25" t="s">
        <v>2105</v>
      </c>
      <c r="B25" t="s">
        <v>426</v>
      </c>
      <c r="C25" s="22">
        <v>1215</v>
      </c>
      <c r="D25" s="22">
        <v>810</v>
      </c>
      <c r="E25" s="22">
        <v>810</v>
      </c>
      <c r="F25" s="22">
        <v>2025</v>
      </c>
      <c r="G25" s="22">
        <v>1245.6600000000001</v>
      </c>
      <c r="H25" s="21">
        <v>1246</v>
      </c>
      <c r="I25" s="21"/>
      <c r="J25" s="21">
        <v>1214.73</v>
      </c>
      <c r="K25" s="21">
        <v>0</v>
      </c>
      <c r="L25" s="22">
        <f t="shared" si="0"/>
        <v>1214.73</v>
      </c>
    </row>
    <row r="26" spans="1:12" x14ac:dyDescent="0.25">
      <c r="A26" t="s">
        <v>2106</v>
      </c>
      <c r="B26" t="s">
        <v>1204</v>
      </c>
      <c r="C26" s="22">
        <v>180</v>
      </c>
      <c r="D26" s="22">
        <v>0</v>
      </c>
      <c r="E26" s="22">
        <v>180</v>
      </c>
      <c r="F26" s="22">
        <v>360</v>
      </c>
      <c r="G26" s="22">
        <v>0</v>
      </c>
      <c r="H26" s="21">
        <v>0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2107</v>
      </c>
      <c r="B27" t="s">
        <v>428</v>
      </c>
      <c r="C27" s="22">
        <v>1073</v>
      </c>
      <c r="D27" s="22">
        <v>646</v>
      </c>
      <c r="E27" s="22">
        <v>600</v>
      </c>
      <c r="F27" s="22">
        <v>1380</v>
      </c>
      <c r="G27" s="22">
        <v>461.52</v>
      </c>
      <c r="H27" s="21">
        <v>10380</v>
      </c>
      <c r="I27" s="21"/>
      <c r="J27" s="21">
        <v>1800</v>
      </c>
      <c r="K27" s="21">
        <v>0</v>
      </c>
      <c r="L27" s="22">
        <f t="shared" si="0"/>
        <v>1800</v>
      </c>
    </row>
    <row r="28" spans="1:12" x14ac:dyDescent="0.25">
      <c r="A28" t="s">
        <v>2108</v>
      </c>
      <c r="B28" t="s">
        <v>430</v>
      </c>
      <c r="C28" s="22">
        <v>138</v>
      </c>
      <c r="D28" s="22">
        <v>69</v>
      </c>
      <c r="E28" s="22">
        <v>138</v>
      </c>
      <c r="F28" s="22">
        <v>208</v>
      </c>
      <c r="G28" s="22">
        <v>103.8</v>
      </c>
      <c r="H28" s="21">
        <v>104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2109</v>
      </c>
      <c r="B29" t="s">
        <v>432</v>
      </c>
      <c r="C29" s="22">
        <v>0</v>
      </c>
      <c r="D29" s="22">
        <v>0</v>
      </c>
      <c r="E29" s="22">
        <v>0</v>
      </c>
      <c r="F29" s="22">
        <v>0</v>
      </c>
      <c r="G29" s="22">
        <v>380.36</v>
      </c>
      <c r="H29" s="21">
        <v>500</v>
      </c>
      <c r="I29" s="21"/>
      <c r="J29" s="21">
        <v>0</v>
      </c>
      <c r="K29" s="21">
        <v>0</v>
      </c>
      <c r="L29" s="22">
        <f t="shared" si="0"/>
        <v>0</v>
      </c>
    </row>
    <row r="30" spans="1:12" x14ac:dyDescent="0.25">
      <c r="A30" t="s">
        <v>2110</v>
      </c>
      <c r="B30" t="s">
        <v>434</v>
      </c>
      <c r="C30" s="22">
        <v>144630</v>
      </c>
      <c r="D30" s="22">
        <v>0</v>
      </c>
      <c r="E30" s="22">
        <v>0</v>
      </c>
      <c r="F30" s="22">
        <v>0</v>
      </c>
      <c r="G30" s="22">
        <v>0</v>
      </c>
      <c r="H30" s="21">
        <v>0</v>
      </c>
      <c r="I30" s="21"/>
      <c r="J30" s="21">
        <v>0</v>
      </c>
      <c r="K30" s="21">
        <v>0</v>
      </c>
      <c r="L30" s="22">
        <f t="shared" si="0"/>
        <v>0</v>
      </c>
    </row>
    <row r="31" spans="1:12" x14ac:dyDescent="0.25">
      <c r="A31" t="s">
        <v>2111</v>
      </c>
      <c r="B31" t="s">
        <v>2112</v>
      </c>
      <c r="C31" s="22">
        <v>0</v>
      </c>
      <c r="D31" s="22">
        <v>0</v>
      </c>
      <c r="E31" s="22">
        <v>0</v>
      </c>
      <c r="F31" s="22">
        <v>0</v>
      </c>
      <c r="G31" s="22">
        <v>4230.7700000000004</v>
      </c>
      <c r="H31" s="21">
        <v>17500</v>
      </c>
      <c r="I31" s="21"/>
      <c r="J31" s="21">
        <v>98000</v>
      </c>
      <c r="K31" s="21">
        <v>0</v>
      </c>
      <c r="L31" s="22">
        <f t="shared" si="0"/>
        <v>98000</v>
      </c>
    </row>
    <row r="32" spans="1:12" x14ac:dyDescent="0.25">
      <c r="A32" t="s">
        <v>2113</v>
      </c>
      <c r="B32" t="s">
        <v>2114</v>
      </c>
      <c r="C32" s="22">
        <v>47125</v>
      </c>
      <c r="D32" s="22">
        <v>29582</v>
      </c>
      <c r="E32" s="22">
        <v>47290</v>
      </c>
      <c r="F32" s="22">
        <v>50232</v>
      </c>
      <c r="G32" s="22">
        <v>44348.61</v>
      </c>
      <c r="H32" s="21">
        <v>50500</v>
      </c>
      <c r="I32" s="21"/>
      <c r="J32" s="21">
        <v>50232</v>
      </c>
      <c r="K32" s="21">
        <v>0</v>
      </c>
      <c r="L32" s="22">
        <f t="shared" si="0"/>
        <v>50232</v>
      </c>
    </row>
    <row r="33" spans="1:12" x14ac:dyDescent="0.25">
      <c r="A33" t="s">
        <v>2115</v>
      </c>
      <c r="B33" t="s">
        <v>2116</v>
      </c>
      <c r="C33" s="22">
        <v>25771</v>
      </c>
      <c r="D33" s="22">
        <v>0</v>
      </c>
      <c r="E33" s="22">
        <v>98567</v>
      </c>
      <c r="F33" s="22">
        <v>105525</v>
      </c>
      <c r="G33" s="22">
        <v>42229.16</v>
      </c>
      <c r="H33" s="21">
        <v>42229</v>
      </c>
      <c r="I33" s="21"/>
      <c r="J33" s="21">
        <v>0</v>
      </c>
      <c r="K33" s="21">
        <v>0</v>
      </c>
      <c r="L33" s="22">
        <f t="shared" si="0"/>
        <v>0</v>
      </c>
    </row>
    <row r="34" spans="1:12" x14ac:dyDescent="0.25">
      <c r="A34" t="s">
        <v>2117</v>
      </c>
      <c r="B34" t="s">
        <v>436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1">
        <v>0</v>
      </c>
      <c r="I34" s="21"/>
      <c r="J34" s="21">
        <v>0</v>
      </c>
      <c r="K34" s="21">
        <v>0</v>
      </c>
      <c r="L34" s="22">
        <f t="shared" si="0"/>
        <v>0</v>
      </c>
    </row>
    <row r="35" spans="1:12" x14ac:dyDescent="0.25">
      <c r="A35" t="s">
        <v>2118</v>
      </c>
      <c r="B35" t="s">
        <v>607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1">
        <v>0</v>
      </c>
      <c r="I35" s="21"/>
      <c r="J35" s="21">
        <v>0</v>
      </c>
      <c r="K35" s="21">
        <v>0</v>
      </c>
      <c r="L35" s="22">
        <f t="shared" si="0"/>
        <v>0</v>
      </c>
    </row>
    <row r="36" spans="1:12" x14ac:dyDescent="0.25"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x14ac:dyDescent="0.25"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5">
      <c r="A38" t="s">
        <v>109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5">
      <c r="B39" t="s">
        <v>441</v>
      </c>
      <c r="C39" s="22">
        <f t="shared" ref="C39:H39" si="1">SUM(C13:C35)</f>
        <v>338939</v>
      </c>
      <c r="D39" s="22">
        <f t="shared" si="1"/>
        <v>249194</v>
      </c>
      <c r="E39" s="22">
        <f t="shared" si="1"/>
        <v>450472</v>
      </c>
      <c r="F39" s="22">
        <f t="shared" si="1"/>
        <v>635746</v>
      </c>
      <c r="G39" s="22">
        <f t="shared" si="1"/>
        <v>338598.48</v>
      </c>
      <c r="H39" s="22">
        <f t="shared" si="1"/>
        <v>390145</v>
      </c>
      <c r="I39" s="22"/>
      <c r="J39" s="22">
        <f>SUM(J13:J35)</f>
        <v>579511.38400000008</v>
      </c>
      <c r="K39" s="22">
        <f>SUM(K13:K35)</f>
        <v>0</v>
      </c>
      <c r="L39" s="22">
        <f>SUM(L13:L35)</f>
        <v>579511.38400000008</v>
      </c>
    </row>
    <row r="40" spans="1:12" x14ac:dyDescent="0.25">
      <c r="A40" t="s">
        <v>110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5">
      <c r="A41" t="s">
        <v>478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5">
      <c r="A42" t="s">
        <v>18</v>
      </c>
      <c r="B42" t="s">
        <v>21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5">
      <c r="A43" t="s">
        <v>2119</v>
      </c>
      <c r="B43" t="s">
        <v>445</v>
      </c>
      <c r="C43" s="22">
        <v>14121</v>
      </c>
      <c r="D43" s="22">
        <v>16337</v>
      </c>
      <c r="E43" s="22">
        <v>17567</v>
      </c>
      <c r="F43" s="22">
        <v>19324</v>
      </c>
      <c r="G43" s="22">
        <v>14598.03</v>
      </c>
      <c r="H43" s="21">
        <v>14598.03</v>
      </c>
      <c r="I43" s="21"/>
      <c r="J43" s="21">
        <f>G43*10%+G43</f>
        <v>16057.833000000001</v>
      </c>
      <c r="K43" s="21">
        <v>0</v>
      </c>
      <c r="L43" s="22">
        <f>SUM(J43+K43)</f>
        <v>16057.833000000001</v>
      </c>
    </row>
    <row r="44" spans="1:12" x14ac:dyDescent="0.25">
      <c r="A44" t="s">
        <v>2120</v>
      </c>
      <c r="B44" t="s">
        <v>447</v>
      </c>
      <c r="C44" s="22">
        <v>368</v>
      </c>
      <c r="D44" s="22">
        <v>300</v>
      </c>
      <c r="E44" s="22">
        <v>156</v>
      </c>
      <c r="F44" s="22">
        <v>750</v>
      </c>
      <c r="G44" s="22">
        <v>863.08</v>
      </c>
      <c r="H44" s="21">
        <v>1000</v>
      </c>
      <c r="I44" s="21"/>
      <c r="J44" s="21">
        <v>1200</v>
      </c>
      <c r="K44" s="21">
        <v>0</v>
      </c>
      <c r="L44" s="22">
        <f t="shared" ref="L44:L55" si="2">SUM(J44+K44)</f>
        <v>1200</v>
      </c>
    </row>
    <row r="45" spans="1:12" x14ac:dyDescent="0.25">
      <c r="A45" t="s">
        <v>2121</v>
      </c>
      <c r="B45" t="s">
        <v>449</v>
      </c>
      <c r="C45" s="22">
        <v>5155</v>
      </c>
      <c r="D45" s="22">
        <v>0</v>
      </c>
      <c r="E45" s="22">
        <v>0</v>
      </c>
      <c r="F45" s="22">
        <v>1500</v>
      </c>
      <c r="G45" s="22">
        <v>1446.43</v>
      </c>
      <c r="H45" s="21">
        <v>1446</v>
      </c>
      <c r="I45" s="21"/>
      <c r="J45" s="21">
        <v>1500</v>
      </c>
      <c r="K45" s="21">
        <v>0</v>
      </c>
      <c r="L45" s="22">
        <f t="shared" si="2"/>
        <v>1500</v>
      </c>
    </row>
    <row r="46" spans="1:12" x14ac:dyDescent="0.25">
      <c r="A46" t="s">
        <v>2122</v>
      </c>
      <c r="B46" t="s">
        <v>451</v>
      </c>
      <c r="C46" s="22">
        <v>1870</v>
      </c>
      <c r="D46" s="22">
        <v>0</v>
      </c>
      <c r="E46" s="22">
        <v>510</v>
      </c>
      <c r="F46" s="22">
        <v>5000</v>
      </c>
      <c r="G46" s="22">
        <v>6.5</v>
      </c>
      <c r="H46" s="21">
        <v>750</v>
      </c>
      <c r="I46" s="21"/>
      <c r="J46" s="21">
        <v>3000</v>
      </c>
      <c r="K46" s="21">
        <v>0</v>
      </c>
      <c r="L46" s="22">
        <f t="shared" si="2"/>
        <v>3000</v>
      </c>
    </row>
    <row r="47" spans="1:12" x14ac:dyDescent="0.25">
      <c r="A47" t="s">
        <v>2123</v>
      </c>
      <c r="B47" t="s">
        <v>457</v>
      </c>
      <c r="C47" s="22">
        <v>338</v>
      </c>
      <c r="D47" s="22">
        <v>100</v>
      </c>
      <c r="E47" s="22">
        <v>0</v>
      </c>
      <c r="F47" s="22">
        <v>5000</v>
      </c>
      <c r="G47" s="22">
        <v>8100</v>
      </c>
      <c r="H47" s="21">
        <v>8100</v>
      </c>
      <c r="I47" s="21"/>
      <c r="J47" s="21">
        <v>10000</v>
      </c>
      <c r="K47" s="21">
        <v>0</v>
      </c>
      <c r="L47" s="22">
        <f t="shared" si="2"/>
        <v>10000</v>
      </c>
    </row>
    <row r="48" spans="1:12" x14ac:dyDescent="0.25">
      <c r="A48" t="s">
        <v>2124</v>
      </c>
      <c r="B48" t="s">
        <v>459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1">
        <v>0</v>
      </c>
      <c r="I48" s="21"/>
      <c r="J48" s="21">
        <v>0</v>
      </c>
      <c r="K48" s="21">
        <v>0</v>
      </c>
      <c r="L48" s="22">
        <f t="shared" si="2"/>
        <v>0</v>
      </c>
    </row>
    <row r="49" spans="1:12" x14ac:dyDescent="0.25">
      <c r="A49" t="s">
        <v>2125</v>
      </c>
      <c r="B49" t="s">
        <v>461</v>
      </c>
      <c r="C49" s="22">
        <v>0</v>
      </c>
      <c r="D49" s="22">
        <v>0</v>
      </c>
      <c r="E49" s="22">
        <v>85</v>
      </c>
      <c r="F49" s="22">
        <v>0</v>
      </c>
      <c r="G49" s="22">
        <v>2777.36</v>
      </c>
      <c r="H49" s="21">
        <v>3000</v>
      </c>
      <c r="I49" s="21"/>
      <c r="J49" s="21">
        <v>3500</v>
      </c>
      <c r="K49" s="21">
        <v>0</v>
      </c>
      <c r="L49" s="22">
        <f t="shared" si="2"/>
        <v>3500</v>
      </c>
    </row>
    <row r="50" spans="1:12" x14ac:dyDescent="0.25">
      <c r="A50" t="s">
        <v>2126</v>
      </c>
      <c r="B50" t="s">
        <v>471</v>
      </c>
      <c r="C50" s="22">
        <v>865</v>
      </c>
      <c r="D50" s="22">
        <v>893</v>
      </c>
      <c r="E50" s="22">
        <v>2103</v>
      </c>
      <c r="F50" s="22">
        <v>2000</v>
      </c>
      <c r="G50" s="22">
        <v>1387</v>
      </c>
      <c r="H50" s="21">
        <v>1500</v>
      </c>
      <c r="I50" s="21"/>
      <c r="J50" s="21">
        <v>1500</v>
      </c>
      <c r="K50" s="21">
        <v>0</v>
      </c>
      <c r="L50" s="22">
        <f t="shared" si="2"/>
        <v>1500</v>
      </c>
    </row>
    <row r="51" spans="1:12" x14ac:dyDescent="0.25">
      <c r="A51" t="s">
        <v>2127</v>
      </c>
      <c r="B51" t="s">
        <v>2128</v>
      </c>
      <c r="C51" s="22">
        <v>0</v>
      </c>
      <c r="D51" s="22">
        <v>0</v>
      </c>
      <c r="E51" s="22">
        <v>0</v>
      </c>
      <c r="F51" s="22">
        <v>300000</v>
      </c>
      <c r="G51" s="22">
        <v>0</v>
      </c>
      <c r="H51" s="21">
        <v>0</v>
      </c>
      <c r="I51" s="21"/>
      <c r="J51" s="21">
        <v>0</v>
      </c>
      <c r="K51" s="21">
        <v>0</v>
      </c>
      <c r="L51" s="22">
        <f t="shared" si="2"/>
        <v>0</v>
      </c>
    </row>
    <row r="52" spans="1:12" x14ac:dyDescent="0.25">
      <c r="A52" t="s">
        <v>2129</v>
      </c>
      <c r="B52" t="s">
        <v>473</v>
      </c>
      <c r="C52" s="22">
        <v>439</v>
      </c>
      <c r="D52" s="22">
        <v>915</v>
      </c>
      <c r="E52" s="22">
        <v>1169</v>
      </c>
      <c r="F52" s="22">
        <v>2500</v>
      </c>
      <c r="G52" s="22">
        <v>1228.5</v>
      </c>
      <c r="H52" s="21">
        <v>1500</v>
      </c>
      <c r="I52" s="21"/>
      <c r="J52" s="21">
        <v>2000</v>
      </c>
      <c r="K52" s="21">
        <v>0</v>
      </c>
      <c r="L52" s="22">
        <f t="shared" si="2"/>
        <v>2000</v>
      </c>
    </row>
    <row r="53" spans="1:12" x14ac:dyDescent="0.25">
      <c r="A53" t="s">
        <v>2130</v>
      </c>
      <c r="B53" t="s">
        <v>2131</v>
      </c>
      <c r="C53" s="22">
        <v>0</v>
      </c>
      <c r="D53" s="22">
        <v>218</v>
      </c>
      <c r="E53" s="22">
        <v>0</v>
      </c>
      <c r="F53" s="22">
        <v>1000</v>
      </c>
      <c r="G53" s="22">
        <v>924.04</v>
      </c>
      <c r="H53" s="21">
        <v>1000</v>
      </c>
      <c r="I53" s="21"/>
      <c r="J53" s="21">
        <v>1000</v>
      </c>
      <c r="K53" s="21">
        <v>0</v>
      </c>
      <c r="L53" s="22">
        <f t="shared" si="2"/>
        <v>1000</v>
      </c>
    </row>
    <row r="54" spans="1:12" x14ac:dyDescent="0.25">
      <c r="A54" t="s">
        <v>2132</v>
      </c>
      <c r="B54" t="s">
        <v>475</v>
      </c>
      <c r="C54" s="22">
        <v>5300</v>
      </c>
      <c r="D54" s="22">
        <v>697</v>
      </c>
      <c r="E54" s="22">
        <v>1954</v>
      </c>
      <c r="F54" s="22">
        <v>2000</v>
      </c>
      <c r="G54" s="22">
        <v>2812.54</v>
      </c>
      <c r="H54" s="21">
        <v>3250</v>
      </c>
      <c r="I54" s="21"/>
      <c r="J54" s="21">
        <v>0</v>
      </c>
      <c r="K54" s="21">
        <v>0</v>
      </c>
      <c r="L54" s="22">
        <f t="shared" si="2"/>
        <v>0</v>
      </c>
    </row>
    <row r="55" spans="1:12" x14ac:dyDescent="0.25">
      <c r="A55" t="s">
        <v>2133</v>
      </c>
      <c r="B55" t="s">
        <v>762</v>
      </c>
      <c r="C55" s="22">
        <v>12728</v>
      </c>
      <c r="D55" s="22">
        <v>0</v>
      </c>
      <c r="E55" s="22">
        <v>17200</v>
      </c>
      <c r="F55" s="22">
        <v>40000</v>
      </c>
      <c r="G55" s="22">
        <v>9385.0499999999993</v>
      </c>
      <c r="H55" s="21">
        <v>9500</v>
      </c>
      <c r="I55" s="21"/>
      <c r="J55" s="21">
        <v>9500</v>
      </c>
      <c r="K55" s="21">
        <v>0</v>
      </c>
      <c r="L55" s="22">
        <f t="shared" si="2"/>
        <v>9500</v>
      </c>
    </row>
    <row r="56" spans="1:12" x14ac:dyDescent="0.25"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x14ac:dyDescent="0.25"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x14ac:dyDescent="0.25">
      <c r="A58" t="s">
        <v>109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x14ac:dyDescent="0.25">
      <c r="B59" t="s">
        <v>478</v>
      </c>
      <c r="C59" s="22">
        <f t="shared" ref="C59:H59" si="3">SUM(C43:C55)</f>
        <v>41184</v>
      </c>
      <c r="D59" s="22">
        <f t="shared" si="3"/>
        <v>19460</v>
      </c>
      <c r="E59" s="22">
        <f t="shared" si="3"/>
        <v>40744</v>
      </c>
      <c r="F59" s="22">
        <f t="shared" si="3"/>
        <v>379074</v>
      </c>
      <c r="G59" s="22">
        <f t="shared" si="3"/>
        <v>43528.53</v>
      </c>
      <c r="H59" s="22">
        <f t="shared" si="3"/>
        <v>45644.03</v>
      </c>
      <c r="I59" s="22"/>
      <c r="J59" s="22">
        <f>SUM(J43:J55)</f>
        <v>49257.832999999999</v>
      </c>
      <c r="K59" s="22">
        <f>SUM(K43:K55)</f>
        <v>0</v>
      </c>
      <c r="L59" s="22">
        <f>SUM(L43:L55)</f>
        <v>49257.832999999999</v>
      </c>
    </row>
    <row r="60" spans="1:12" x14ac:dyDescent="0.25"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12" x14ac:dyDescent="0.25">
      <c r="A61" t="s">
        <v>489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1:12" x14ac:dyDescent="0.25">
      <c r="A62" t="s">
        <v>18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12" x14ac:dyDescent="0.25">
      <c r="A63" t="s">
        <v>2134</v>
      </c>
      <c r="B63" t="s">
        <v>491</v>
      </c>
      <c r="C63" s="22">
        <v>2382</v>
      </c>
      <c r="D63" s="22">
        <v>1328</v>
      </c>
      <c r="E63" s="22">
        <v>1643</v>
      </c>
      <c r="F63" s="22">
        <v>1800</v>
      </c>
      <c r="G63" s="22">
        <v>1590.77</v>
      </c>
      <c r="H63" s="21">
        <v>1591</v>
      </c>
      <c r="I63" s="21"/>
      <c r="J63" s="21">
        <v>2000</v>
      </c>
      <c r="K63" s="21">
        <v>0</v>
      </c>
      <c r="L63" s="22">
        <f>SUM(J63+K63)</f>
        <v>2000</v>
      </c>
    </row>
    <row r="64" spans="1:12" x14ac:dyDescent="0.25">
      <c r="A64" t="s">
        <v>2135</v>
      </c>
      <c r="B64" t="s">
        <v>493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1">
        <v>0</v>
      </c>
      <c r="I64" s="21"/>
      <c r="J64" s="21">
        <v>0</v>
      </c>
      <c r="K64" s="21">
        <v>0</v>
      </c>
      <c r="L64" s="22">
        <f t="shared" ref="L64:L68" si="4">SUM(J64+K64)</f>
        <v>0</v>
      </c>
    </row>
    <row r="65" spans="1:12" x14ac:dyDescent="0.25">
      <c r="A65" t="s">
        <v>2136</v>
      </c>
      <c r="B65" t="s">
        <v>489</v>
      </c>
      <c r="C65" s="22">
        <v>6360</v>
      </c>
      <c r="D65" s="22">
        <v>1992</v>
      </c>
      <c r="E65" s="22">
        <v>766</v>
      </c>
      <c r="F65" s="22">
        <v>3500</v>
      </c>
      <c r="G65" s="22">
        <v>1940.07</v>
      </c>
      <c r="H65" s="21">
        <v>2129</v>
      </c>
      <c r="I65" s="21"/>
      <c r="J65" s="21">
        <v>3000</v>
      </c>
      <c r="K65" s="21">
        <v>0</v>
      </c>
      <c r="L65" s="22">
        <f t="shared" si="4"/>
        <v>3000</v>
      </c>
    </row>
    <row r="66" spans="1:12" x14ac:dyDescent="0.25">
      <c r="A66" t="s">
        <v>2137</v>
      </c>
      <c r="B66" t="s">
        <v>496</v>
      </c>
      <c r="C66" s="22">
        <v>1597</v>
      </c>
      <c r="D66" s="22">
        <v>945</v>
      </c>
      <c r="E66" s="22">
        <v>600</v>
      </c>
      <c r="F66" s="22">
        <v>1500</v>
      </c>
      <c r="G66" s="22">
        <v>255.54</v>
      </c>
      <c r="H66" s="21">
        <v>1000</v>
      </c>
      <c r="I66" s="21"/>
      <c r="J66" s="21">
        <v>1200</v>
      </c>
      <c r="K66" s="21">
        <v>0</v>
      </c>
      <c r="L66" s="22">
        <f t="shared" si="4"/>
        <v>1200</v>
      </c>
    </row>
    <row r="67" spans="1:12" hidden="1" x14ac:dyDescent="0.25">
      <c r="A67" t="s">
        <v>2138</v>
      </c>
      <c r="B67" t="s">
        <v>498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1">
        <v>0</v>
      </c>
      <c r="I67" s="21"/>
      <c r="J67" s="21">
        <v>0</v>
      </c>
      <c r="K67" s="21">
        <v>0</v>
      </c>
      <c r="L67" s="22">
        <f t="shared" si="4"/>
        <v>0</v>
      </c>
    </row>
    <row r="68" spans="1:12" hidden="1" x14ac:dyDescent="0.25">
      <c r="A68" t="s">
        <v>2139</v>
      </c>
      <c r="B68" t="s">
        <v>500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1">
        <v>0</v>
      </c>
      <c r="I68" s="21"/>
      <c r="J68" s="21">
        <v>0</v>
      </c>
      <c r="K68" s="21">
        <v>0</v>
      </c>
      <c r="L68" s="22">
        <f t="shared" si="4"/>
        <v>0</v>
      </c>
    </row>
    <row r="69" spans="1:12" x14ac:dyDescent="0.25"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x14ac:dyDescent="0.25"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x14ac:dyDescent="0.25">
      <c r="A71" t="s">
        <v>109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x14ac:dyDescent="0.25">
      <c r="B72" t="s">
        <v>489</v>
      </c>
      <c r="C72" s="22">
        <f t="shared" ref="C72:H72" si="5">SUM(C63:C68)</f>
        <v>10339</v>
      </c>
      <c r="D72" s="22">
        <f t="shared" si="5"/>
        <v>4265</v>
      </c>
      <c r="E72" s="22">
        <f t="shared" si="5"/>
        <v>3009</v>
      </c>
      <c r="F72" s="22">
        <f t="shared" si="5"/>
        <v>6800</v>
      </c>
      <c r="G72" s="22">
        <f t="shared" si="5"/>
        <v>3786.38</v>
      </c>
      <c r="H72" s="22">
        <f t="shared" si="5"/>
        <v>4720</v>
      </c>
      <c r="I72" s="22"/>
      <c r="J72" s="22">
        <f>SUM(J63:J68)</f>
        <v>6200</v>
      </c>
      <c r="K72" s="22">
        <f>SUM(K63:K68)</f>
        <v>0</v>
      </c>
      <c r="L72" s="22">
        <f>SUM(L63:L68)</f>
        <v>6200</v>
      </c>
    </row>
    <row r="73" spans="1:12" x14ac:dyDescent="0.25"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x14ac:dyDescent="0.25">
      <c r="A74" t="s">
        <v>501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x14ac:dyDescent="0.25">
      <c r="A75" t="s">
        <v>18</v>
      </c>
      <c r="C75" s="22"/>
      <c r="D75" s="22"/>
      <c r="E75" s="22"/>
      <c r="F75" s="22"/>
      <c r="G75" s="22"/>
      <c r="H75" s="22"/>
      <c r="I75" s="22"/>
      <c r="J75" s="27"/>
      <c r="K75" s="22"/>
      <c r="L75" s="22"/>
    </row>
    <row r="76" spans="1:12" x14ac:dyDescent="0.25">
      <c r="A76" t="s">
        <v>2140</v>
      </c>
      <c r="B76" t="s">
        <v>503</v>
      </c>
      <c r="C76" s="22">
        <v>11852</v>
      </c>
      <c r="D76" s="22">
        <v>71082</v>
      </c>
      <c r="E76" s="22">
        <v>370251</v>
      </c>
      <c r="F76" s="22">
        <v>330000</v>
      </c>
      <c r="G76" s="22">
        <v>388511.43</v>
      </c>
      <c r="H76" s="21">
        <v>400000</v>
      </c>
      <c r="I76" s="21"/>
      <c r="J76" s="24">
        <v>300000</v>
      </c>
      <c r="K76" s="21">
        <v>0</v>
      </c>
      <c r="L76" s="22">
        <f>SUM(J76+K76)</f>
        <v>300000</v>
      </c>
    </row>
    <row r="77" spans="1:12" x14ac:dyDescent="0.25">
      <c r="B77" s="11" t="s">
        <v>3733</v>
      </c>
      <c r="C77" s="22"/>
      <c r="D77" s="22"/>
      <c r="E77" s="22"/>
      <c r="F77" s="22"/>
      <c r="G77" s="22"/>
      <c r="H77" s="21"/>
      <c r="I77" s="21"/>
      <c r="J77" s="24"/>
      <c r="K77" s="21"/>
      <c r="L77" s="22"/>
    </row>
    <row r="78" spans="1:12" x14ac:dyDescent="0.25">
      <c r="B78" s="11" t="s">
        <v>3734</v>
      </c>
      <c r="C78" s="22"/>
      <c r="D78" s="22"/>
      <c r="E78" s="22"/>
      <c r="F78" s="22"/>
      <c r="G78" s="22"/>
      <c r="H78" s="21"/>
      <c r="I78" s="21"/>
      <c r="J78" s="24"/>
      <c r="K78" s="21"/>
      <c r="L78" s="22"/>
    </row>
    <row r="79" spans="1:12" x14ac:dyDescent="0.25">
      <c r="B79" s="11" t="s">
        <v>3735</v>
      </c>
      <c r="C79" s="22"/>
      <c r="D79" s="22"/>
      <c r="E79" s="22"/>
      <c r="F79" s="22"/>
      <c r="G79" s="22"/>
      <c r="H79" s="21"/>
      <c r="I79" s="21"/>
      <c r="J79" s="24"/>
      <c r="K79" s="21"/>
      <c r="L79" s="22"/>
    </row>
    <row r="80" spans="1:12" x14ac:dyDescent="0.25">
      <c r="A80" t="s">
        <v>2141</v>
      </c>
      <c r="B80" t="s">
        <v>507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1">
        <v>0</v>
      </c>
      <c r="I80" s="21"/>
      <c r="J80" s="21">
        <v>0</v>
      </c>
      <c r="K80" s="21">
        <v>0</v>
      </c>
      <c r="L80" s="22">
        <f t="shared" ref="L80:L85" si="6">SUM(J80+K80)</f>
        <v>0</v>
      </c>
    </row>
    <row r="81" spans="1:12" x14ac:dyDescent="0.25">
      <c r="A81" t="s">
        <v>2142</v>
      </c>
      <c r="B81" t="s">
        <v>509</v>
      </c>
      <c r="C81" s="22">
        <v>16999</v>
      </c>
      <c r="D81" s="22">
        <v>0</v>
      </c>
      <c r="E81" s="22">
        <v>26943</v>
      </c>
      <c r="F81" s="22">
        <v>30000</v>
      </c>
      <c r="G81" s="22">
        <v>33169.199999999997</v>
      </c>
      <c r="H81" s="21">
        <v>35000</v>
      </c>
      <c r="I81" s="21"/>
      <c r="J81" s="21">
        <v>30000</v>
      </c>
      <c r="K81" s="21">
        <v>0</v>
      </c>
      <c r="L81" s="22">
        <f t="shared" si="6"/>
        <v>30000</v>
      </c>
    </row>
    <row r="82" spans="1:12" x14ac:dyDescent="0.25">
      <c r="A82" t="s">
        <v>2143</v>
      </c>
      <c r="B82" t="s">
        <v>519</v>
      </c>
      <c r="C82" s="22">
        <v>0</v>
      </c>
      <c r="D82" s="22">
        <v>1250</v>
      </c>
      <c r="E82" s="22">
        <v>0</v>
      </c>
      <c r="F82" s="22">
        <v>3500</v>
      </c>
      <c r="G82" s="22">
        <v>0</v>
      </c>
      <c r="H82" s="21">
        <v>0</v>
      </c>
      <c r="I82" s="21"/>
      <c r="J82" s="21">
        <v>3500</v>
      </c>
      <c r="K82" s="21">
        <v>0</v>
      </c>
      <c r="L82" s="22">
        <f t="shared" si="6"/>
        <v>3500</v>
      </c>
    </row>
    <row r="83" spans="1:12" x14ac:dyDescent="0.25">
      <c r="B83" t="s">
        <v>3736</v>
      </c>
      <c r="C83" s="22"/>
      <c r="D83" s="22"/>
      <c r="E83" s="22"/>
      <c r="F83" s="22"/>
      <c r="G83" s="22"/>
      <c r="H83" s="21"/>
      <c r="I83" s="21"/>
      <c r="J83" s="21"/>
      <c r="K83" s="21"/>
      <c r="L83" s="22"/>
    </row>
    <row r="84" spans="1:12" x14ac:dyDescent="0.25">
      <c r="B84" t="s">
        <v>3737</v>
      </c>
      <c r="C84" s="22"/>
      <c r="D84" s="22"/>
      <c r="E84" s="22"/>
      <c r="F84" s="22"/>
      <c r="G84" s="22"/>
      <c r="H84" s="21"/>
      <c r="I84" s="21"/>
      <c r="J84" s="21"/>
      <c r="K84" s="21"/>
      <c r="L84" s="22"/>
    </row>
    <row r="85" spans="1:12" x14ac:dyDescent="0.25">
      <c r="A85" t="s">
        <v>2144</v>
      </c>
      <c r="B85" t="s">
        <v>521</v>
      </c>
      <c r="C85" s="22">
        <v>0</v>
      </c>
      <c r="D85" s="22">
        <v>0</v>
      </c>
      <c r="E85" s="22">
        <v>0</v>
      </c>
      <c r="F85" s="22">
        <v>3500</v>
      </c>
      <c r="G85" s="22">
        <v>219.45</v>
      </c>
      <c r="H85" s="21">
        <v>1000</v>
      </c>
      <c r="I85" s="21"/>
      <c r="J85" s="21">
        <v>3500</v>
      </c>
      <c r="K85" s="21">
        <v>0</v>
      </c>
      <c r="L85" s="22">
        <f t="shared" si="6"/>
        <v>3500</v>
      </c>
    </row>
    <row r="86" spans="1:12" x14ac:dyDescent="0.25"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1:12" x14ac:dyDescent="0.25">
      <c r="A88" t="s">
        <v>109</v>
      </c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1:12" x14ac:dyDescent="0.25">
      <c r="B89" t="s">
        <v>501</v>
      </c>
      <c r="C89" s="22">
        <f t="shared" ref="C89:H89" si="7">SUM(C76:C85)</f>
        <v>28851</v>
      </c>
      <c r="D89" s="22">
        <f t="shared" si="7"/>
        <v>72332</v>
      </c>
      <c r="E89" s="22">
        <f t="shared" si="7"/>
        <v>397194</v>
      </c>
      <c r="F89" s="22">
        <f t="shared" si="7"/>
        <v>367000</v>
      </c>
      <c r="G89" s="22">
        <f t="shared" si="7"/>
        <v>421900.08</v>
      </c>
      <c r="H89" s="22">
        <f t="shared" si="7"/>
        <v>436000</v>
      </c>
      <c r="I89" s="22"/>
      <c r="J89" s="22">
        <f>SUM(J76:J85)</f>
        <v>337000</v>
      </c>
      <c r="K89" s="22">
        <f>SUM(K76:K85)</f>
        <v>0</v>
      </c>
      <c r="L89" s="22">
        <f>SUM(L76:L85)</f>
        <v>337000</v>
      </c>
    </row>
    <row r="90" spans="1:12" x14ac:dyDescent="0.25"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1:12" x14ac:dyDescent="0.25">
      <c r="A91" t="s">
        <v>530</v>
      </c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1:12" x14ac:dyDescent="0.25">
      <c r="A92" t="s">
        <v>18</v>
      </c>
      <c r="B92" t="s">
        <v>526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 spans="1:12" x14ac:dyDescent="0.25">
      <c r="A93" t="s">
        <v>2145</v>
      </c>
      <c r="B93" t="s">
        <v>530</v>
      </c>
      <c r="C93" s="22">
        <v>0</v>
      </c>
      <c r="D93" s="22">
        <v>0</v>
      </c>
      <c r="E93" s="22">
        <v>52893</v>
      </c>
      <c r="F93" s="22">
        <v>0</v>
      </c>
      <c r="G93" s="22">
        <v>0</v>
      </c>
      <c r="H93" s="21">
        <v>0</v>
      </c>
      <c r="I93" s="21"/>
      <c r="J93" s="21">
        <v>0</v>
      </c>
      <c r="K93" s="21">
        <v>0</v>
      </c>
      <c r="L93" s="22">
        <f>SUM(J93+K93)</f>
        <v>0</v>
      </c>
    </row>
    <row r="94" spans="1:12" x14ac:dyDescent="0.25">
      <c r="A94" t="s">
        <v>2146</v>
      </c>
      <c r="B94" t="s">
        <v>1282</v>
      </c>
      <c r="C94" s="22">
        <v>0</v>
      </c>
      <c r="D94" s="22">
        <v>0</v>
      </c>
      <c r="E94" s="22">
        <v>7468</v>
      </c>
      <c r="F94" s="22">
        <v>0</v>
      </c>
      <c r="G94" s="22">
        <v>0</v>
      </c>
      <c r="H94" s="21">
        <v>0</v>
      </c>
      <c r="I94" s="21"/>
      <c r="J94" s="21">
        <v>0</v>
      </c>
      <c r="K94" s="21">
        <v>0</v>
      </c>
      <c r="L94" s="22">
        <f t="shared" ref="L94:L96" si="8">SUM(J94+K94)</f>
        <v>0</v>
      </c>
    </row>
    <row r="95" spans="1:12" x14ac:dyDescent="0.25">
      <c r="A95" t="s">
        <v>2147</v>
      </c>
      <c r="B95" t="s">
        <v>660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1">
        <v>0</v>
      </c>
      <c r="I95" s="21"/>
      <c r="J95" s="21">
        <v>0</v>
      </c>
      <c r="K95" s="21">
        <v>0</v>
      </c>
      <c r="L95" s="22">
        <f t="shared" si="8"/>
        <v>0</v>
      </c>
    </row>
    <row r="96" spans="1:12" x14ac:dyDescent="0.25">
      <c r="A96" t="s">
        <v>2148</v>
      </c>
      <c r="B96" t="s">
        <v>534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1">
        <v>0</v>
      </c>
      <c r="I96" s="21"/>
      <c r="J96" s="21">
        <v>0</v>
      </c>
      <c r="K96" s="21">
        <v>0</v>
      </c>
      <c r="L96" s="22">
        <f t="shared" si="8"/>
        <v>0</v>
      </c>
    </row>
    <row r="97" spans="1:12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 spans="1:12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1:12" x14ac:dyDescent="0.25">
      <c r="A99" t="s">
        <v>109</v>
      </c>
      <c r="C99" s="22"/>
      <c r="D99" s="22"/>
      <c r="E99" s="22"/>
      <c r="F99" s="22"/>
      <c r="G99" s="22"/>
      <c r="H99" s="22"/>
      <c r="I99" s="22"/>
      <c r="J99" s="22"/>
      <c r="K99" s="22"/>
      <c r="L99" s="22"/>
    </row>
    <row r="100" spans="1:12" x14ac:dyDescent="0.25">
      <c r="B100" t="s">
        <v>530</v>
      </c>
      <c r="C100" s="22">
        <f t="shared" ref="C100:H100" si="9">SUM(C93:C96)</f>
        <v>0</v>
      </c>
      <c r="D100" s="22">
        <f t="shared" si="9"/>
        <v>0</v>
      </c>
      <c r="E100" s="22">
        <f t="shared" si="9"/>
        <v>60361</v>
      </c>
      <c r="F100" s="22">
        <f t="shared" si="9"/>
        <v>0</v>
      </c>
      <c r="G100" s="22">
        <f t="shared" si="9"/>
        <v>0</v>
      </c>
      <c r="H100" s="22">
        <f t="shared" si="9"/>
        <v>0</v>
      </c>
      <c r="I100" s="22"/>
      <c r="J100" s="22">
        <f>SUM(J93:J96)</f>
        <v>0</v>
      </c>
      <c r="K100" s="22">
        <f>SUM(K93:K96)</f>
        <v>0</v>
      </c>
      <c r="L100" s="22">
        <f>SUM(L93:L96)</f>
        <v>0</v>
      </c>
    </row>
    <row r="101" spans="1:12" x14ac:dyDescent="0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1:12" x14ac:dyDescent="0.25">
      <c r="A103" t="s">
        <v>109</v>
      </c>
      <c r="C103" s="22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1:12" x14ac:dyDescent="0.25">
      <c r="A104">
        <v>59</v>
      </c>
      <c r="B104" t="s">
        <v>3738</v>
      </c>
      <c r="C104" s="22">
        <f t="shared" ref="C104:H104" si="10">C39+C59+C72+C89+C100</f>
        <v>419313</v>
      </c>
      <c r="D104" s="22">
        <f t="shared" si="10"/>
        <v>345251</v>
      </c>
      <c r="E104" s="22">
        <f t="shared" si="10"/>
        <v>951780</v>
      </c>
      <c r="F104" s="22">
        <f t="shared" si="10"/>
        <v>1388620</v>
      </c>
      <c r="G104" s="22">
        <f t="shared" si="10"/>
        <v>807813.47</v>
      </c>
      <c r="H104" s="22">
        <f t="shared" si="10"/>
        <v>876509.03</v>
      </c>
      <c r="I104" s="22"/>
      <c r="J104" s="22">
        <f>J39+J59+J72+J89+J100</f>
        <v>971969.21700000006</v>
      </c>
      <c r="K104" s="22">
        <f>K39+K59+K72+K89+K100</f>
        <v>0</v>
      </c>
      <c r="L104" s="22">
        <f>L39+L59+L72+L89+L100</f>
        <v>971969.21700000006</v>
      </c>
    </row>
    <row r="105" spans="1:12" x14ac:dyDescent="0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1:12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</row>
  </sheetData>
  <sheetProtection algorithmName="SHA-512" hashValue="gGq8OFcdLWrqNxBuDGfGaLpXZ9gT6anN6/OlVqopySvslx+X2fXrVLeysesjnQ9+5pno59j9siYTy2ucS3GncQ==" saltValue="8OU0qmSyCzkZ8jXt+/nIYQ==" spinCount="100000" sheet="1" insertRows="0"/>
  <pageMargins left="0.25" right="0.25" top="0.75" bottom="0.75" header="0.3" footer="0.3"/>
  <pageSetup scale="75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4430-0634-4A24-85F8-85571510695F}">
  <sheetPr>
    <pageSetUpPr fitToPage="1"/>
  </sheetPr>
  <dimension ref="A1:L115"/>
  <sheetViews>
    <sheetView zoomScaleNormal="100" workbookViewId="0">
      <selection activeCell="J59" sqref="J59"/>
    </sheetView>
  </sheetViews>
  <sheetFormatPr defaultRowHeight="15" x14ac:dyDescent="0.25"/>
  <cols>
    <col min="2" max="2" width="32.5703125" style="7" bestFit="1" customWidth="1"/>
    <col min="3" max="3" width="14.28515625" style="12" bestFit="1" customWidth="1"/>
    <col min="4" max="4" width="15" style="12" bestFit="1" customWidth="1"/>
    <col min="5" max="6" width="14.28515625" style="12" bestFit="1" customWidth="1"/>
    <col min="7" max="7" width="12.85546875" style="12" bestFit="1" customWidth="1"/>
    <col min="8" max="8" width="13.28515625" style="11" bestFit="1" customWidth="1"/>
    <col min="9" max="9" width="11.5703125" style="11" bestFit="1" customWidth="1"/>
    <col min="10" max="10" width="13.28515625" style="11" bestFit="1" customWidth="1"/>
    <col min="11" max="11" width="14.7109375" style="11" bestFit="1" customWidth="1"/>
    <col min="12" max="12" width="14.140625" style="12" bestFit="1" customWidth="1"/>
  </cols>
  <sheetData>
    <row r="1" spans="1:12" x14ac:dyDescent="0.25">
      <c r="A1" t="s">
        <v>3726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1982</v>
      </c>
      <c r="B8" s="7" t="s">
        <v>501</v>
      </c>
    </row>
    <row r="10" spans="1:12" x14ac:dyDescent="0.25">
      <c r="A10" t="s">
        <v>110</v>
      </c>
    </row>
    <row r="11" spans="1:12" x14ac:dyDescent="0.25">
      <c r="A11" t="s">
        <v>441</v>
      </c>
      <c r="C11" s="22"/>
      <c r="D11" s="22"/>
      <c r="E11" s="22"/>
      <c r="F11" s="22"/>
      <c r="G11" s="22"/>
      <c r="H11" s="21"/>
      <c r="I11" s="21"/>
      <c r="J11" s="21"/>
      <c r="K11" s="21"/>
      <c r="L11" s="22"/>
    </row>
    <row r="12" spans="1:12" x14ac:dyDescent="0.25">
      <c r="A12" t="s">
        <v>18</v>
      </c>
      <c r="B12" s="7" t="s">
        <v>228</v>
      </c>
      <c r="C12" s="22"/>
      <c r="D12" s="22"/>
      <c r="E12" s="22"/>
      <c r="F12" s="22"/>
      <c r="G12" s="22"/>
      <c r="H12" s="21"/>
      <c r="I12" s="21"/>
      <c r="J12" s="21"/>
      <c r="K12" s="21"/>
      <c r="L12" s="22"/>
    </row>
    <row r="13" spans="1:12" x14ac:dyDescent="0.25">
      <c r="A13" t="s">
        <v>2149</v>
      </c>
      <c r="B13" s="7" t="s">
        <v>569</v>
      </c>
      <c r="C13" s="22">
        <v>5041</v>
      </c>
      <c r="D13" s="22">
        <v>1461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2150</v>
      </c>
      <c r="B14" s="7" t="s">
        <v>396</v>
      </c>
      <c r="C14" s="22">
        <v>214</v>
      </c>
      <c r="D14" s="22">
        <v>134</v>
      </c>
      <c r="E14" s="22">
        <v>944</v>
      </c>
      <c r="F14" s="22">
        <v>2016</v>
      </c>
      <c r="G14" s="22">
        <v>621.99</v>
      </c>
      <c r="H14" s="21">
        <v>700</v>
      </c>
      <c r="I14" s="21"/>
      <c r="J14" s="21">
        <v>504</v>
      </c>
      <c r="K14" s="21">
        <v>0</v>
      </c>
      <c r="L14" s="22">
        <f t="shared" ref="L14:L33" si="0">SUM(J14+K14)</f>
        <v>504</v>
      </c>
    </row>
    <row r="15" spans="1:12" x14ac:dyDescent="0.25">
      <c r="A15" t="s">
        <v>2151</v>
      </c>
      <c r="B15" s="7" t="s">
        <v>398</v>
      </c>
      <c r="C15" s="22">
        <v>34622</v>
      </c>
      <c r="D15" s="22">
        <v>38440</v>
      </c>
      <c r="E15" s="22">
        <v>31276</v>
      </c>
      <c r="F15" s="22">
        <v>31050</v>
      </c>
      <c r="G15" s="22">
        <v>27373.08</v>
      </c>
      <c r="H15" s="21">
        <v>30250</v>
      </c>
      <c r="I15" s="21"/>
      <c r="J15" s="21">
        <v>30019.759999999998</v>
      </c>
      <c r="K15" s="21">
        <v>0</v>
      </c>
      <c r="L15" s="22">
        <f t="shared" si="0"/>
        <v>30019.759999999998</v>
      </c>
    </row>
    <row r="16" spans="1:12" x14ac:dyDescent="0.25">
      <c r="A16" t="s">
        <v>2152</v>
      </c>
      <c r="B16" s="7" t="s">
        <v>400</v>
      </c>
      <c r="C16" s="22">
        <v>37316</v>
      </c>
      <c r="D16" s="22">
        <v>42105</v>
      </c>
      <c r="E16" s="22">
        <v>36492</v>
      </c>
      <c r="F16" s="22">
        <v>38519</v>
      </c>
      <c r="G16" s="22">
        <v>28057.87</v>
      </c>
      <c r="H16" s="21">
        <v>33150</v>
      </c>
      <c r="I16" s="21"/>
      <c r="J16" s="21">
        <f>8981.67+26650.56</f>
        <v>35632.230000000003</v>
      </c>
      <c r="K16" s="21">
        <v>0</v>
      </c>
      <c r="L16" s="22">
        <f t="shared" si="0"/>
        <v>35632.230000000003</v>
      </c>
    </row>
    <row r="17" spans="1:12" x14ac:dyDescent="0.25">
      <c r="A17" t="s">
        <v>2153</v>
      </c>
      <c r="B17" s="7" t="s">
        <v>574</v>
      </c>
      <c r="C17" s="22">
        <v>134933</v>
      </c>
      <c r="D17" s="22">
        <v>123363</v>
      </c>
      <c r="E17" s="22">
        <v>93367</v>
      </c>
      <c r="F17" s="22">
        <v>102950</v>
      </c>
      <c r="G17" s="22">
        <v>77632.83</v>
      </c>
      <c r="H17" s="21">
        <v>85300</v>
      </c>
      <c r="I17" s="21"/>
      <c r="J17" s="21">
        <v>54059.28</v>
      </c>
      <c r="K17" s="21">
        <v>0</v>
      </c>
      <c r="L17" s="22">
        <f t="shared" si="0"/>
        <v>54059.28</v>
      </c>
    </row>
    <row r="18" spans="1:12" x14ac:dyDescent="0.25">
      <c r="A18" t="s">
        <v>2154</v>
      </c>
      <c r="B18" s="7" t="s">
        <v>404</v>
      </c>
      <c r="C18" s="22">
        <v>6800</v>
      </c>
      <c r="D18" s="22">
        <v>6329</v>
      </c>
      <c r="E18" s="22">
        <v>5273</v>
      </c>
      <c r="F18" s="22">
        <v>5232</v>
      </c>
      <c r="G18" s="22">
        <v>3875.33</v>
      </c>
      <c r="H18" s="21">
        <v>5100</v>
      </c>
      <c r="I18" s="21"/>
      <c r="J18" s="21">
        <v>5760</v>
      </c>
      <c r="K18" s="21">
        <v>0</v>
      </c>
      <c r="L18" s="22">
        <f t="shared" si="0"/>
        <v>5760</v>
      </c>
    </row>
    <row r="19" spans="1:12" x14ac:dyDescent="0.25">
      <c r="A19" t="s">
        <v>2155</v>
      </c>
      <c r="B19" s="7" t="s">
        <v>406</v>
      </c>
      <c r="C19" s="22">
        <v>8935</v>
      </c>
      <c r="D19" s="22">
        <v>8056</v>
      </c>
      <c r="E19" s="22">
        <v>9584</v>
      </c>
      <c r="F19" s="22">
        <v>10542</v>
      </c>
      <c r="G19" s="22">
        <v>9609.27</v>
      </c>
      <c r="H19" s="21">
        <v>9609</v>
      </c>
      <c r="I19" s="21"/>
      <c r="J19" s="21">
        <f>G19+10%+G19</f>
        <v>19218.64</v>
      </c>
      <c r="K19" s="21">
        <v>0</v>
      </c>
      <c r="L19" s="22">
        <f t="shared" si="0"/>
        <v>19218.64</v>
      </c>
    </row>
    <row r="20" spans="1:12" x14ac:dyDescent="0.25">
      <c r="A20" t="s">
        <v>2156</v>
      </c>
      <c r="B20" s="7" t="s">
        <v>424</v>
      </c>
      <c r="C20" s="22">
        <v>2457</v>
      </c>
      <c r="D20" s="22">
        <v>1903</v>
      </c>
      <c r="E20" s="22">
        <v>1211</v>
      </c>
      <c r="F20" s="22">
        <v>1468</v>
      </c>
      <c r="G20" s="22">
        <v>1453.28</v>
      </c>
      <c r="H20" s="21">
        <v>1453</v>
      </c>
      <c r="I20" s="21"/>
      <c r="J20" s="21">
        <v>1038.06</v>
      </c>
      <c r="K20" s="21">
        <v>0</v>
      </c>
      <c r="L20" s="22">
        <f t="shared" si="0"/>
        <v>1038.06</v>
      </c>
    </row>
    <row r="21" spans="1:12" x14ac:dyDescent="0.25">
      <c r="A21" t="s">
        <v>2157</v>
      </c>
      <c r="B21" s="7" t="s">
        <v>426</v>
      </c>
      <c r="C21" s="22">
        <v>4049</v>
      </c>
      <c r="D21" s="22">
        <v>3239</v>
      </c>
      <c r="E21" s="22">
        <v>2834</v>
      </c>
      <c r="F21" s="22">
        <v>3239</v>
      </c>
      <c r="G21" s="22">
        <v>2906.54</v>
      </c>
      <c r="H21" s="21">
        <v>2907</v>
      </c>
      <c r="I21" s="21"/>
      <c r="J21" s="21">
        <v>2834.37</v>
      </c>
      <c r="K21" s="21">
        <v>0</v>
      </c>
      <c r="L21" s="22">
        <f t="shared" si="0"/>
        <v>2834.37</v>
      </c>
    </row>
    <row r="22" spans="1:12" x14ac:dyDescent="0.25">
      <c r="A22" t="s">
        <v>2158</v>
      </c>
      <c r="B22" s="7" t="s">
        <v>1204</v>
      </c>
      <c r="C22" s="22">
        <v>1800</v>
      </c>
      <c r="D22" s="22">
        <v>1620</v>
      </c>
      <c r="E22" s="22">
        <v>1440</v>
      </c>
      <c r="F22" s="22">
        <v>1440</v>
      </c>
      <c r="G22" s="22">
        <v>1259.6500000000001</v>
      </c>
      <c r="H22" s="21">
        <v>1260</v>
      </c>
      <c r="I22" s="21"/>
      <c r="J22" s="21">
        <v>1439.6</v>
      </c>
      <c r="K22" s="21">
        <v>0</v>
      </c>
      <c r="L22" s="22">
        <f t="shared" si="0"/>
        <v>1439.6</v>
      </c>
    </row>
    <row r="23" spans="1:12" x14ac:dyDescent="0.25">
      <c r="A23" t="s">
        <v>2159</v>
      </c>
      <c r="B23" s="7" t="s">
        <v>428</v>
      </c>
      <c r="C23" s="22">
        <v>1731</v>
      </c>
      <c r="D23" s="22">
        <v>808</v>
      </c>
      <c r="E23" s="22">
        <v>600</v>
      </c>
      <c r="F23" s="22">
        <v>600</v>
      </c>
      <c r="G23" s="22">
        <v>507.76</v>
      </c>
      <c r="H23" s="21">
        <v>507.76</v>
      </c>
      <c r="I23" s="21"/>
      <c r="J23" s="21">
        <v>600</v>
      </c>
      <c r="K23" s="21">
        <v>0</v>
      </c>
      <c r="L23" s="22">
        <f t="shared" si="0"/>
        <v>600</v>
      </c>
    </row>
    <row r="24" spans="1:12" x14ac:dyDescent="0.25">
      <c r="A24" t="s">
        <v>2160</v>
      </c>
      <c r="B24" s="7" t="s">
        <v>430</v>
      </c>
      <c r="C24" s="22">
        <v>346</v>
      </c>
      <c r="D24" s="22">
        <v>346</v>
      </c>
      <c r="E24" s="22">
        <v>277</v>
      </c>
      <c r="F24" s="22">
        <v>277</v>
      </c>
      <c r="G24" s="22">
        <v>276.8</v>
      </c>
      <c r="H24" s="21">
        <v>277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2161</v>
      </c>
      <c r="B25" s="7" t="s">
        <v>432</v>
      </c>
      <c r="C25" s="22">
        <v>27575</v>
      </c>
      <c r="D25" s="22">
        <v>35229</v>
      </c>
      <c r="E25" s="22">
        <v>21700</v>
      </c>
      <c r="F25" s="22">
        <v>23000</v>
      </c>
      <c r="G25" s="22">
        <v>18281.79</v>
      </c>
      <c r="H25" s="21">
        <v>20000</v>
      </c>
      <c r="I25" s="21"/>
      <c r="J25" s="21">
        <v>30000</v>
      </c>
      <c r="K25" s="21">
        <v>0</v>
      </c>
      <c r="L25" s="22">
        <f t="shared" si="0"/>
        <v>30000</v>
      </c>
    </row>
    <row r="26" spans="1:12" x14ac:dyDescent="0.25">
      <c r="A26" t="s">
        <v>2162</v>
      </c>
      <c r="B26" s="7" t="s">
        <v>434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1">
        <v>0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2163</v>
      </c>
      <c r="B27" s="7" t="s">
        <v>436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2164</v>
      </c>
      <c r="B28" s="7" t="s">
        <v>607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2165</v>
      </c>
      <c r="B29" s="7" t="s">
        <v>2166</v>
      </c>
      <c r="C29" s="22">
        <v>67904</v>
      </c>
      <c r="D29" s="22">
        <v>77185</v>
      </c>
      <c r="E29" s="22">
        <v>77553</v>
      </c>
      <c r="F29" s="22">
        <v>81431</v>
      </c>
      <c r="G29" s="22">
        <v>71233.38</v>
      </c>
      <c r="H29" s="21">
        <v>79000</v>
      </c>
      <c r="I29" s="21"/>
      <c r="J29" s="21">
        <v>60000</v>
      </c>
      <c r="K29" s="21">
        <v>0</v>
      </c>
      <c r="L29" s="22">
        <f t="shared" si="0"/>
        <v>60000</v>
      </c>
    </row>
    <row r="30" spans="1:12" x14ac:dyDescent="0.25">
      <c r="A30" t="s">
        <v>2167</v>
      </c>
      <c r="B30" s="7" t="s">
        <v>2168</v>
      </c>
      <c r="C30" s="22">
        <v>87164</v>
      </c>
      <c r="D30" s="22">
        <v>72185</v>
      </c>
      <c r="E30" s="22">
        <v>54600</v>
      </c>
      <c r="F30" s="22">
        <v>57330</v>
      </c>
      <c r="G30" s="22">
        <v>53733.1</v>
      </c>
      <c r="H30" s="21">
        <v>60250</v>
      </c>
      <c r="I30" s="21"/>
      <c r="J30" s="21">
        <v>50960</v>
      </c>
      <c r="K30" s="21">
        <v>0</v>
      </c>
      <c r="L30" s="22">
        <f t="shared" si="0"/>
        <v>50960</v>
      </c>
    </row>
    <row r="31" spans="1:12" x14ac:dyDescent="0.25">
      <c r="A31" t="s">
        <v>2169</v>
      </c>
      <c r="B31" s="7" t="s">
        <v>2170</v>
      </c>
      <c r="C31" s="22">
        <v>262534</v>
      </c>
      <c r="D31" s="22">
        <v>314206</v>
      </c>
      <c r="E31" s="22">
        <v>248946</v>
      </c>
      <c r="F31" s="22">
        <v>260289</v>
      </c>
      <c r="G31" s="22">
        <v>210119.4</v>
      </c>
      <c r="H31" s="21">
        <v>233500</v>
      </c>
      <c r="I31" s="21"/>
      <c r="J31" s="21">
        <v>243592.95999999999</v>
      </c>
      <c r="K31" s="21">
        <v>0</v>
      </c>
      <c r="L31" s="22">
        <f t="shared" si="0"/>
        <v>243592.95999999999</v>
      </c>
    </row>
    <row r="32" spans="1:12" x14ac:dyDescent="0.25">
      <c r="A32" t="s">
        <v>2171</v>
      </c>
      <c r="B32" s="7" t="s">
        <v>2172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1">
        <v>0</v>
      </c>
      <c r="I32" s="21"/>
      <c r="J32" s="21">
        <v>0</v>
      </c>
      <c r="K32" s="21">
        <v>0</v>
      </c>
      <c r="L32" s="22">
        <f t="shared" si="0"/>
        <v>0</v>
      </c>
    </row>
    <row r="33" spans="1:12" x14ac:dyDescent="0.25">
      <c r="A33" t="s">
        <v>2173</v>
      </c>
      <c r="B33" s="7" t="s">
        <v>1221</v>
      </c>
      <c r="C33" s="22">
        <v>3150</v>
      </c>
      <c r="D33" s="22">
        <v>3675</v>
      </c>
      <c r="E33" s="22">
        <v>3075</v>
      </c>
      <c r="F33" s="22">
        <v>0</v>
      </c>
      <c r="G33" s="22">
        <v>1650</v>
      </c>
      <c r="H33" s="21">
        <v>2000</v>
      </c>
      <c r="I33" s="21"/>
      <c r="J33" s="21">
        <v>1950</v>
      </c>
      <c r="K33" s="21">
        <v>0</v>
      </c>
      <c r="L33" s="22">
        <f t="shared" si="0"/>
        <v>1950</v>
      </c>
    </row>
    <row r="34" spans="1:12" x14ac:dyDescent="0.25">
      <c r="C34" s="22"/>
      <c r="D34" s="22"/>
      <c r="E34" s="22"/>
      <c r="F34" s="22"/>
      <c r="G34" s="22"/>
      <c r="H34" s="21"/>
      <c r="I34" s="21"/>
      <c r="J34" s="21"/>
      <c r="K34" s="21"/>
      <c r="L34" s="22"/>
    </row>
    <row r="35" spans="1:12" x14ac:dyDescent="0.25">
      <c r="C35" s="22"/>
      <c r="D35" s="22"/>
      <c r="E35" s="22"/>
      <c r="F35" s="22"/>
      <c r="G35" s="22"/>
      <c r="H35" s="21"/>
      <c r="I35" s="21"/>
      <c r="J35" s="21"/>
      <c r="K35" s="21"/>
      <c r="L35" s="22"/>
    </row>
    <row r="36" spans="1:12" x14ac:dyDescent="0.25">
      <c r="A36" t="s">
        <v>109</v>
      </c>
      <c r="C36" s="22"/>
      <c r="D36" s="22"/>
      <c r="E36" s="22"/>
      <c r="F36" s="22"/>
      <c r="G36" s="22"/>
      <c r="H36" s="21"/>
      <c r="I36" s="21"/>
      <c r="J36" s="21"/>
      <c r="K36" s="21"/>
      <c r="L36" s="22"/>
    </row>
    <row r="37" spans="1:12" x14ac:dyDescent="0.25">
      <c r="B37" t="s">
        <v>441</v>
      </c>
      <c r="C37" s="20">
        <f t="shared" ref="C37:H37" si="1">SUM(C13:C33)</f>
        <v>686571</v>
      </c>
      <c r="D37" s="20">
        <f t="shared" si="1"/>
        <v>730284</v>
      </c>
      <c r="E37" s="20">
        <f t="shared" si="1"/>
        <v>589172</v>
      </c>
      <c r="F37" s="20">
        <f t="shared" si="1"/>
        <v>619383</v>
      </c>
      <c r="G37" s="20">
        <f t="shared" si="1"/>
        <v>508592.06999999995</v>
      </c>
      <c r="H37" s="20">
        <f t="shared" si="1"/>
        <v>565263.76</v>
      </c>
      <c r="I37" s="20"/>
      <c r="J37" s="20">
        <f>SUM(J13:J33)</f>
        <v>537608.9</v>
      </c>
      <c r="K37" s="20">
        <f>SUM(K13:K33)</f>
        <v>0</v>
      </c>
      <c r="L37" s="20">
        <f>SUM(L13:L33)</f>
        <v>537608.9</v>
      </c>
    </row>
    <row r="38" spans="1:12" x14ac:dyDescent="0.25">
      <c r="C38" s="22"/>
      <c r="D38" s="22"/>
      <c r="E38" s="22"/>
      <c r="F38" s="22"/>
      <c r="G38" s="22"/>
      <c r="H38" s="21"/>
      <c r="I38" s="21"/>
      <c r="J38" s="21"/>
      <c r="K38" s="21"/>
      <c r="L38" s="22"/>
    </row>
    <row r="39" spans="1:12" x14ac:dyDescent="0.25">
      <c r="A39" t="s">
        <v>478</v>
      </c>
      <c r="C39" s="22"/>
      <c r="D39" s="22"/>
      <c r="E39" s="22"/>
      <c r="F39" s="22"/>
      <c r="G39" s="22"/>
      <c r="H39" s="21"/>
      <c r="I39" s="21"/>
      <c r="J39" s="21"/>
      <c r="K39" s="21"/>
      <c r="L39" s="22"/>
    </row>
    <row r="40" spans="1:12" x14ac:dyDescent="0.25">
      <c r="A40" t="s">
        <v>18</v>
      </c>
      <c r="B40" s="7" t="s">
        <v>21</v>
      </c>
      <c r="C40" s="22"/>
      <c r="D40" s="22"/>
      <c r="E40" s="22"/>
      <c r="F40" s="22"/>
      <c r="G40" s="22"/>
      <c r="H40" s="21"/>
      <c r="I40" s="21"/>
      <c r="J40" s="21"/>
      <c r="K40" s="21"/>
      <c r="L40" s="22"/>
    </row>
    <row r="41" spans="1:12" x14ac:dyDescent="0.25">
      <c r="A41" t="s">
        <v>2174</v>
      </c>
      <c r="B41" s="7" t="s">
        <v>445</v>
      </c>
      <c r="C41" s="22">
        <v>14377</v>
      </c>
      <c r="D41" s="22">
        <v>24730</v>
      </c>
      <c r="E41" s="22">
        <v>19658</v>
      </c>
      <c r="F41" s="22">
        <v>21623</v>
      </c>
      <c r="G41" s="22">
        <v>20475.37</v>
      </c>
      <c r="H41" s="21">
        <v>20475</v>
      </c>
      <c r="I41" s="21"/>
      <c r="J41" s="21">
        <f>G41*10%+G41</f>
        <v>22522.906999999999</v>
      </c>
      <c r="K41" s="21">
        <v>0</v>
      </c>
      <c r="L41" s="22">
        <f>SUM(J41+K41)</f>
        <v>22522.906999999999</v>
      </c>
    </row>
    <row r="42" spans="1:12" x14ac:dyDescent="0.25">
      <c r="A42" t="s">
        <v>2175</v>
      </c>
      <c r="B42" s="7" t="s">
        <v>447</v>
      </c>
      <c r="C42" s="22">
        <v>11857</v>
      </c>
      <c r="D42" s="22">
        <v>26044</v>
      </c>
      <c r="E42" s="22">
        <v>2472</v>
      </c>
      <c r="F42" s="22">
        <v>12000</v>
      </c>
      <c r="G42" s="22">
        <v>4692.62</v>
      </c>
      <c r="H42" s="21">
        <v>6000</v>
      </c>
      <c r="I42" s="21"/>
      <c r="J42" s="21">
        <v>12000</v>
      </c>
      <c r="K42" s="21">
        <v>0</v>
      </c>
      <c r="L42" s="22">
        <f t="shared" ref="L42:L61" si="2">SUM(J42+K42)</f>
        <v>12000</v>
      </c>
    </row>
    <row r="43" spans="1:12" x14ac:dyDescent="0.25">
      <c r="A43" t="s">
        <v>2176</v>
      </c>
      <c r="B43" s="7" t="s">
        <v>449</v>
      </c>
      <c r="C43" s="22">
        <v>1115</v>
      </c>
      <c r="D43" s="22">
        <v>640</v>
      </c>
      <c r="E43" s="22">
        <v>3099</v>
      </c>
      <c r="F43" s="22">
        <v>2000</v>
      </c>
      <c r="G43" s="22">
        <v>737.71</v>
      </c>
      <c r="H43" s="21">
        <v>738</v>
      </c>
      <c r="I43" s="21"/>
      <c r="J43" s="21">
        <v>2000</v>
      </c>
      <c r="K43" s="21">
        <v>0</v>
      </c>
      <c r="L43" s="22">
        <f t="shared" si="2"/>
        <v>2000</v>
      </c>
    </row>
    <row r="44" spans="1:12" x14ac:dyDescent="0.25">
      <c r="A44" t="s">
        <v>2177</v>
      </c>
      <c r="B44" s="7" t="s">
        <v>451</v>
      </c>
      <c r="C44" s="22">
        <v>10594</v>
      </c>
      <c r="D44" s="22">
        <v>5567</v>
      </c>
      <c r="E44" s="22">
        <v>6661</v>
      </c>
      <c r="F44" s="22">
        <v>6000</v>
      </c>
      <c r="G44" s="22">
        <v>4823.63</v>
      </c>
      <c r="H44" s="21">
        <v>4824</v>
      </c>
      <c r="I44" s="21"/>
      <c r="J44" s="21">
        <v>6000</v>
      </c>
      <c r="K44" s="21">
        <v>0</v>
      </c>
      <c r="L44" s="22">
        <f t="shared" si="2"/>
        <v>6000</v>
      </c>
    </row>
    <row r="45" spans="1:12" x14ac:dyDescent="0.25">
      <c r="A45" t="s">
        <v>2178</v>
      </c>
      <c r="B45" s="7" t="s">
        <v>457</v>
      </c>
      <c r="C45" s="22">
        <v>74</v>
      </c>
      <c r="D45" s="22">
        <v>67</v>
      </c>
      <c r="E45" s="22">
        <v>42</v>
      </c>
      <c r="F45" s="22">
        <v>100</v>
      </c>
      <c r="G45" s="22">
        <v>41.88</v>
      </c>
      <c r="H45" s="21">
        <v>42</v>
      </c>
      <c r="I45" s="21"/>
      <c r="J45" s="21">
        <v>900</v>
      </c>
      <c r="K45" s="21">
        <v>0</v>
      </c>
      <c r="L45" s="22">
        <f t="shared" si="2"/>
        <v>900</v>
      </c>
    </row>
    <row r="46" spans="1:12" x14ac:dyDescent="0.25">
      <c r="B46" s="7" t="s">
        <v>3739</v>
      </c>
      <c r="C46" s="22"/>
      <c r="D46" s="22"/>
      <c r="E46" s="22"/>
      <c r="F46" s="22"/>
      <c r="G46" s="22"/>
      <c r="H46" s="21"/>
      <c r="I46" s="21">
        <v>800</v>
      </c>
      <c r="J46" s="21"/>
      <c r="K46" s="21"/>
      <c r="L46" s="22"/>
    </row>
    <row r="47" spans="1:12" x14ac:dyDescent="0.25">
      <c r="B47" s="7" t="s">
        <v>3740</v>
      </c>
      <c r="C47" s="22"/>
      <c r="D47" s="22"/>
      <c r="E47" s="22"/>
      <c r="F47" s="22"/>
      <c r="G47" s="22"/>
      <c r="H47" s="21"/>
      <c r="I47" s="21">
        <v>100</v>
      </c>
      <c r="J47" s="21"/>
      <c r="K47" s="21"/>
      <c r="L47" s="22"/>
    </row>
    <row r="48" spans="1:12" x14ac:dyDescent="0.25">
      <c r="A48" t="s">
        <v>2179</v>
      </c>
      <c r="B48" s="7" t="s">
        <v>1232</v>
      </c>
      <c r="C48" s="22">
        <v>0</v>
      </c>
      <c r="D48" s="22">
        <v>6625</v>
      </c>
      <c r="E48" s="22">
        <v>7100</v>
      </c>
      <c r="F48" s="22">
        <v>0</v>
      </c>
      <c r="G48" s="22">
        <v>1692.03</v>
      </c>
      <c r="H48" s="21">
        <v>1692</v>
      </c>
      <c r="I48" s="21"/>
      <c r="J48" s="21">
        <v>2000</v>
      </c>
      <c r="K48" s="21">
        <v>0</v>
      </c>
      <c r="L48" s="22">
        <f t="shared" si="2"/>
        <v>2000</v>
      </c>
    </row>
    <row r="49" spans="1:12" x14ac:dyDescent="0.25">
      <c r="A49" t="s">
        <v>2180</v>
      </c>
      <c r="B49" s="7" t="s">
        <v>471</v>
      </c>
      <c r="C49" s="22">
        <v>687</v>
      </c>
      <c r="D49" s="22">
        <v>534</v>
      </c>
      <c r="E49" s="22">
        <v>268</v>
      </c>
      <c r="F49" s="22">
        <v>1500</v>
      </c>
      <c r="G49" s="22">
        <v>300</v>
      </c>
      <c r="H49" s="21">
        <v>400</v>
      </c>
      <c r="I49" s="21"/>
      <c r="J49" s="21">
        <v>1200</v>
      </c>
      <c r="K49" s="21">
        <v>0</v>
      </c>
      <c r="L49" s="22">
        <f t="shared" si="2"/>
        <v>1200</v>
      </c>
    </row>
    <row r="50" spans="1:12" x14ac:dyDescent="0.25">
      <c r="A50" t="s">
        <v>2181</v>
      </c>
      <c r="B50" s="7" t="s">
        <v>1047</v>
      </c>
      <c r="C50" s="22">
        <v>7603</v>
      </c>
      <c r="D50" s="22">
        <v>7953</v>
      </c>
      <c r="E50" s="22">
        <v>8023</v>
      </c>
      <c r="F50" s="22">
        <v>9000</v>
      </c>
      <c r="G50" s="22">
        <v>5968.97</v>
      </c>
      <c r="H50" s="21">
        <v>8000</v>
      </c>
      <c r="I50" s="21"/>
      <c r="J50" s="21">
        <v>9000</v>
      </c>
      <c r="K50" s="21">
        <v>0</v>
      </c>
      <c r="L50" s="22">
        <f t="shared" si="2"/>
        <v>9000</v>
      </c>
    </row>
    <row r="51" spans="1:12" x14ac:dyDescent="0.25">
      <c r="A51" t="s">
        <v>2182</v>
      </c>
      <c r="B51" s="7" t="s">
        <v>473</v>
      </c>
      <c r="C51" s="22">
        <v>105108</v>
      </c>
      <c r="D51" s="22">
        <v>61962</v>
      </c>
      <c r="E51" s="22">
        <v>48527</v>
      </c>
      <c r="F51" s="22">
        <v>100000</v>
      </c>
      <c r="G51" s="22">
        <v>114175.74</v>
      </c>
      <c r="H51" s="21">
        <v>118000</v>
      </c>
      <c r="I51" s="21"/>
      <c r="J51" s="21">
        <v>100000</v>
      </c>
      <c r="K51" s="21">
        <v>0</v>
      </c>
      <c r="L51" s="22">
        <f t="shared" si="2"/>
        <v>100000</v>
      </c>
    </row>
    <row r="52" spans="1:12" x14ac:dyDescent="0.25">
      <c r="A52" t="s">
        <v>2183</v>
      </c>
      <c r="B52" s="7" t="s">
        <v>1241</v>
      </c>
      <c r="C52" s="22">
        <v>43390</v>
      </c>
      <c r="D52" s="22">
        <v>35</v>
      </c>
      <c r="E52" s="22">
        <v>0</v>
      </c>
      <c r="F52" s="22">
        <v>0</v>
      </c>
      <c r="G52" s="22">
        <v>0</v>
      </c>
      <c r="H52" s="21">
        <v>0</v>
      </c>
      <c r="I52" s="21"/>
      <c r="J52" s="21">
        <v>0</v>
      </c>
      <c r="K52" s="21">
        <v>0</v>
      </c>
      <c r="L52" s="22">
        <f t="shared" si="2"/>
        <v>0</v>
      </c>
    </row>
    <row r="53" spans="1:12" x14ac:dyDescent="0.25">
      <c r="A53" t="s">
        <v>2184</v>
      </c>
      <c r="B53" s="7" t="s">
        <v>626</v>
      </c>
      <c r="C53" s="22">
        <v>36500</v>
      </c>
      <c r="D53" s="22">
        <v>28473</v>
      </c>
      <c r="E53" s="22">
        <v>55277</v>
      </c>
      <c r="F53" s="22">
        <v>60000</v>
      </c>
      <c r="G53" s="22">
        <v>36776.129999999997</v>
      </c>
      <c r="H53" s="21">
        <v>40000</v>
      </c>
      <c r="I53" s="21"/>
      <c r="J53" s="21">
        <v>60000</v>
      </c>
      <c r="K53" s="21">
        <v>0</v>
      </c>
      <c r="L53" s="22">
        <f t="shared" si="2"/>
        <v>60000</v>
      </c>
    </row>
    <row r="54" spans="1:12" x14ac:dyDescent="0.25">
      <c r="A54" t="s">
        <v>2185</v>
      </c>
      <c r="B54" s="7" t="s">
        <v>1246</v>
      </c>
      <c r="C54" s="22">
        <v>700</v>
      </c>
      <c r="D54" s="22">
        <v>5007</v>
      </c>
      <c r="E54" s="22">
        <v>2977</v>
      </c>
      <c r="F54" s="22">
        <v>2000</v>
      </c>
      <c r="G54" s="22">
        <v>5995.9</v>
      </c>
      <c r="H54" s="21">
        <v>6000</v>
      </c>
      <c r="I54" s="21"/>
      <c r="J54" s="21">
        <v>2000</v>
      </c>
      <c r="K54" s="21">
        <v>0</v>
      </c>
      <c r="L54" s="22">
        <f t="shared" si="2"/>
        <v>2000</v>
      </c>
    </row>
    <row r="55" spans="1:12" x14ac:dyDescent="0.25">
      <c r="A55" t="s">
        <v>2186</v>
      </c>
      <c r="B55" s="7" t="s">
        <v>1976</v>
      </c>
      <c r="C55" s="22">
        <v>0</v>
      </c>
      <c r="D55" s="22">
        <v>0</v>
      </c>
      <c r="E55" s="22">
        <v>0</v>
      </c>
      <c r="F55" s="22">
        <v>0</v>
      </c>
      <c r="G55" s="22">
        <v>6835.83</v>
      </c>
      <c r="H55" s="21">
        <v>6836</v>
      </c>
      <c r="I55" s="21"/>
      <c r="J55" s="21">
        <v>0</v>
      </c>
      <c r="K55" s="21">
        <v>0</v>
      </c>
      <c r="L55" s="22">
        <f t="shared" si="2"/>
        <v>0</v>
      </c>
    </row>
    <row r="56" spans="1:12" x14ac:dyDescent="0.25">
      <c r="A56" t="s">
        <v>2187</v>
      </c>
      <c r="B56" s="7" t="s">
        <v>475</v>
      </c>
      <c r="C56" s="22">
        <v>1329</v>
      </c>
      <c r="D56" s="22">
        <v>2350</v>
      </c>
      <c r="E56" s="22">
        <v>627</v>
      </c>
      <c r="F56" s="22">
        <v>1500</v>
      </c>
      <c r="G56" s="22">
        <v>1115.32</v>
      </c>
      <c r="H56" s="21">
        <v>1200</v>
      </c>
      <c r="I56" s="21"/>
      <c r="J56" s="21">
        <v>1200</v>
      </c>
      <c r="K56" s="21">
        <v>0</v>
      </c>
      <c r="L56" s="22">
        <f t="shared" si="2"/>
        <v>1200</v>
      </c>
    </row>
    <row r="57" spans="1:12" x14ac:dyDescent="0.25">
      <c r="A57" t="s">
        <v>2188</v>
      </c>
      <c r="B57" s="7" t="s">
        <v>2189</v>
      </c>
      <c r="C57" s="22">
        <v>38335</v>
      </c>
      <c r="D57" s="22">
        <v>33320</v>
      </c>
      <c r="E57" s="22">
        <v>36428</v>
      </c>
      <c r="F57" s="22">
        <v>40000</v>
      </c>
      <c r="G57" s="22">
        <v>22926.15</v>
      </c>
      <c r="H57" s="21">
        <v>35000</v>
      </c>
      <c r="I57" s="21"/>
      <c r="J57" s="21">
        <v>40000</v>
      </c>
      <c r="K57" s="21">
        <v>0</v>
      </c>
      <c r="L57" s="22">
        <f t="shared" si="2"/>
        <v>40000</v>
      </c>
    </row>
    <row r="58" spans="1:12" x14ac:dyDescent="0.25">
      <c r="A58" t="s">
        <v>2190</v>
      </c>
      <c r="B58" s="7" t="s">
        <v>1387</v>
      </c>
      <c r="C58" s="22">
        <v>607357</v>
      </c>
      <c r="D58" s="22">
        <v>223694</v>
      </c>
      <c r="E58" s="22">
        <v>106692</v>
      </c>
      <c r="F58" s="22">
        <v>400000</v>
      </c>
      <c r="G58" s="22">
        <v>18984</v>
      </c>
      <c r="H58" s="21">
        <v>19000</v>
      </c>
      <c r="I58" s="21"/>
      <c r="J58" s="21">
        <v>150000</v>
      </c>
      <c r="K58" s="21">
        <v>0</v>
      </c>
      <c r="L58" s="22">
        <f t="shared" si="2"/>
        <v>150000</v>
      </c>
    </row>
    <row r="59" spans="1:12" x14ac:dyDescent="0.25">
      <c r="A59" t="s">
        <v>2191</v>
      </c>
      <c r="B59" s="7" t="s">
        <v>2192</v>
      </c>
      <c r="C59" s="22">
        <v>0</v>
      </c>
      <c r="D59" s="22">
        <v>0</v>
      </c>
      <c r="E59" s="22">
        <v>12744</v>
      </c>
      <c r="F59" s="22">
        <v>25000</v>
      </c>
      <c r="G59" s="22">
        <v>9933.51</v>
      </c>
      <c r="H59" s="21">
        <v>25000</v>
      </c>
      <c r="I59" s="21"/>
      <c r="J59" s="21">
        <v>25000</v>
      </c>
      <c r="K59" s="21">
        <v>0</v>
      </c>
      <c r="L59" s="22">
        <f t="shared" si="2"/>
        <v>25000</v>
      </c>
    </row>
    <row r="60" spans="1:12" x14ac:dyDescent="0.25">
      <c r="A60" t="s">
        <v>2193</v>
      </c>
      <c r="B60" s="7" t="s">
        <v>2194</v>
      </c>
      <c r="C60" s="22">
        <v>120016</v>
      </c>
      <c r="D60" s="22">
        <v>22440</v>
      </c>
      <c r="E60" s="22">
        <v>43411</v>
      </c>
      <c r="F60" s="22">
        <v>50000</v>
      </c>
      <c r="G60" s="22">
        <v>66119</v>
      </c>
      <c r="H60" s="21">
        <v>66119</v>
      </c>
      <c r="I60" s="21"/>
      <c r="J60" s="21">
        <v>50000</v>
      </c>
      <c r="K60" s="21">
        <v>0</v>
      </c>
      <c r="L60" s="22">
        <f t="shared" si="2"/>
        <v>50000</v>
      </c>
    </row>
    <row r="61" spans="1:12" x14ac:dyDescent="0.25">
      <c r="A61" t="s">
        <v>2195</v>
      </c>
      <c r="B61" s="7" t="s">
        <v>477</v>
      </c>
      <c r="C61" s="22">
        <v>18</v>
      </c>
      <c r="D61" s="22">
        <v>600</v>
      </c>
      <c r="E61" s="22">
        <v>23</v>
      </c>
      <c r="F61" s="22">
        <v>2200</v>
      </c>
      <c r="G61" s="22">
        <v>39.99</v>
      </c>
      <c r="H61" s="21">
        <v>2200</v>
      </c>
      <c r="I61" s="21"/>
      <c r="J61" s="21">
        <v>2200</v>
      </c>
      <c r="K61" s="21">
        <v>0</v>
      </c>
      <c r="L61" s="22">
        <f t="shared" si="2"/>
        <v>2200</v>
      </c>
    </row>
    <row r="62" spans="1:12" x14ac:dyDescent="0.25">
      <c r="C62" s="22"/>
      <c r="D62" s="22"/>
      <c r="E62" s="22"/>
      <c r="F62" s="22"/>
      <c r="G62" s="22"/>
      <c r="H62" s="21"/>
      <c r="I62" s="21"/>
      <c r="J62" s="21"/>
      <c r="K62" s="21"/>
      <c r="L62" s="22"/>
    </row>
    <row r="63" spans="1:12" x14ac:dyDescent="0.25">
      <c r="C63" s="22"/>
      <c r="D63" s="22"/>
      <c r="E63" s="22"/>
      <c r="F63" s="22"/>
      <c r="G63" s="22"/>
      <c r="H63" s="21"/>
      <c r="I63" s="21"/>
      <c r="J63" s="21"/>
      <c r="K63" s="21"/>
      <c r="L63" s="22"/>
    </row>
    <row r="64" spans="1:12" x14ac:dyDescent="0.25">
      <c r="A64" t="s">
        <v>109</v>
      </c>
      <c r="C64" s="22"/>
      <c r="D64" s="22"/>
      <c r="E64" s="22"/>
      <c r="F64" s="22"/>
      <c r="G64" s="22"/>
      <c r="H64" s="21"/>
      <c r="I64" s="21"/>
      <c r="J64" s="21"/>
      <c r="K64" s="21"/>
      <c r="L64" s="22"/>
    </row>
    <row r="65" spans="1:12" x14ac:dyDescent="0.25">
      <c r="B65" t="s">
        <v>478</v>
      </c>
      <c r="C65" s="20">
        <f t="shared" ref="C65:H65" si="3">SUM(C41:C61)</f>
        <v>999060</v>
      </c>
      <c r="D65" s="20">
        <f t="shared" si="3"/>
        <v>450041</v>
      </c>
      <c r="E65" s="20">
        <f t="shared" si="3"/>
        <v>354029</v>
      </c>
      <c r="F65" s="20">
        <f t="shared" si="3"/>
        <v>732923</v>
      </c>
      <c r="G65" s="20">
        <f t="shared" si="3"/>
        <v>321633.78000000003</v>
      </c>
      <c r="H65" s="20">
        <f t="shared" si="3"/>
        <v>361526</v>
      </c>
      <c r="I65" s="20"/>
      <c r="J65" s="20">
        <f>SUM(J41:J61)</f>
        <v>486022.90700000001</v>
      </c>
      <c r="K65" s="20">
        <f>SUM(K41:K61)</f>
        <v>0</v>
      </c>
      <c r="L65" s="20">
        <f>SUM(L41:L61)</f>
        <v>486022.90700000001</v>
      </c>
    </row>
    <row r="66" spans="1:12" x14ac:dyDescent="0.25">
      <c r="A66" t="s">
        <v>110</v>
      </c>
      <c r="C66" s="22"/>
      <c r="D66" s="22"/>
      <c r="E66" s="22"/>
      <c r="F66" s="22"/>
      <c r="G66" s="22"/>
      <c r="H66" s="21"/>
      <c r="I66" s="21"/>
      <c r="J66" s="21"/>
      <c r="K66" s="21"/>
      <c r="L66" s="22"/>
    </row>
    <row r="67" spans="1:12" x14ac:dyDescent="0.25">
      <c r="A67" t="s">
        <v>489</v>
      </c>
      <c r="C67" s="22"/>
      <c r="D67" s="22"/>
      <c r="E67" s="22"/>
      <c r="F67" s="22"/>
      <c r="G67" s="22"/>
      <c r="H67" s="21"/>
      <c r="I67" s="21"/>
      <c r="J67" s="21"/>
      <c r="K67" s="21"/>
      <c r="L67" s="22"/>
    </row>
    <row r="68" spans="1:12" x14ac:dyDescent="0.25">
      <c r="A68" t="s">
        <v>18</v>
      </c>
      <c r="C68" s="22"/>
      <c r="D68" s="22"/>
      <c r="E68" s="22"/>
      <c r="F68" s="22"/>
      <c r="G68" s="22"/>
      <c r="H68" s="21"/>
      <c r="I68" s="21"/>
      <c r="J68" s="21"/>
      <c r="K68" s="21"/>
      <c r="L68" s="22"/>
    </row>
    <row r="69" spans="1:12" x14ac:dyDescent="0.25">
      <c r="A69" t="s">
        <v>2196</v>
      </c>
      <c r="B69" s="7" t="s">
        <v>489</v>
      </c>
      <c r="C69" s="22">
        <v>7034</v>
      </c>
      <c r="D69" s="22">
        <v>5155</v>
      </c>
      <c r="E69" s="22">
        <v>4567</v>
      </c>
      <c r="F69" s="22">
        <v>5500</v>
      </c>
      <c r="G69" s="22">
        <v>3419.31</v>
      </c>
      <c r="H69" s="21">
        <v>4000</v>
      </c>
      <c r="I69" s="21"/>
      <c r="J69" s="21">
        <v>5000</v>
      </c>
      <c r="K69" s="21">
        <v>0</v>
      </c>
      <c r="L69" s="22">
        <f>SUM(J69+K69)</f>
        <v>5000</v>
      </c>
    </row>
    <row r="70" spans="1:12" x14ac:dyDescent="0.25">
      <c r="A70" t="s">
        <v>2197</v>
      </c>
      <c r="B70" s="7" t="s">
        <v>1252</v>
      </c>
      <c r="C70" s="22">
        <v>3747</v>
      </c>
      <c r="D70" s="22">
        <v>3629</v>
      </c>
      <c r="E70" s="22">
        <v>8055</v>
      </c>
      <c r="F70" s="22">
        <v>4000</v>
      </c>
      <c r="G70" s="22">
        <v>7408.5</v>
      </c>
      <c r="H70" s="21">
        <v>7500</v>
      </c>
      <c r="I70" s="21"/>
      <c r="J70" s="21">
        <v>8000</v>
      </c>
      <c r="K70" s="21">
        <v>0</v>
      </c>
      <c r="L70" s="22">
        <f t="shared" ref="L70:L76" si="4">SUM(J70+K70)</f>
        <v>8000</v>
      </c>
    </row>
    <row r="71" spans="1:12" x14ac:dyDescent="0.25">
      <c r="A71" t="s">
        <v>2198</v>
      </c>
      <c r="B71" s="7" t="s">
        <v>2199</v>
      </c>
      <c r="C71" s="22">
        <v>106352</v>
      </c>
      <c r="D71" s="22">
        <v>42031</v>
      </c>
      <c r="E71" s="22">
        <v>48902</v>
      </c>
      <c r="F71" s="22">
        <v>60000</v>
      </c>
      <c r="G71" s="22">
        <v>53522.37</v>
      </c>
      <c r="H71" s="21">
        <v>59000</v>
      </c>
      <c r="I71" s="21"/>
      <c r="J71" s="21">
        <v>60000</v>
      </c>
      <c r="K71" s="21">
        <v>0</v>
      </c>
      <c r="L71" s="22">
        <f t="shared" si="4"/>
        <v>60000</v>
      </c>
    </row>
    <row r="72" spans="1:12" x14ac:dyDescent="0.25">
      <c r="A72" t="s">
        <v>2200</v>
      </c>
      <c r="B72" s="7" t="s">
        <v>496</v>
      </c>
      <c r="C72" s="22">
        <v>45534</v>
      </c>
      <c r="D72" s="22">
        <v>40321</v>
      </c>
      <c r="E72" s="22">
        <v>36763</v>
      </c>
      <c r="F72" s="22">
        <v>30000</v>
      </c>
      <c r="G72" s="22">
        <v>27394.15</v>
      </c>
      <c r="H72" s="21">
        <v>29000</v>
      </c>
      <c r="I72" s="21"/>
      <c r="J72" s="21">
        <v>30000</v>
      </c>
      <c r="K72" s="21">
        <v>0</v>
      </c>
      <c r="L72" s="22">
        <f t="shared" si="4"/>
        <v>30000</v>
      </c>
    </row>
    <row r="73" spans="1:12" x14ac:dyDescent="0.25">
      <c r="A73" t="s">
        <v>2201</v>
      </c>
      <c r="B73" s="7" t="s">
        <v>1255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1">
        <v>0</v>
      </c>
      <c r="I73" s="21"/>
      <c r="J73" s="21">
        <v>0</v>
      </c>
      <c r="K73" s="21">
        <v>0</v>
      </c>
      <c r="L73" s="22">
        <f t="shared" si="4"/>
        <v>0</v>
      </c>
    </row>
    <row r="74" spans="1:12" x14ac:dyDescent="0.25">
      <c r="A74" t="s">
        <v>2202</v>
      </c>
      <c r="B74" s="7" t="s">
        <v>1259</v>
      </c>
      <c r="C74" s="22">
        <v>0</v>
      </c>
      <c r="D74" s="22">
        <v>0</v>
      </c>
      <c r="E74" s="22">
        <v>568</v>
      </c>
      <c r="F74" s="22">
        <v>0</v>
      </c>
      <c r="G74" s="22">
        <v>0</v>
      </c>
      <c r="H74" s="21">
        <v>0</v>
      </c>
      <c r="I74" s="21"/>
      <c r="J74" s="21">
        <v>0</v>
      </c>
      <c r="K74" s="21">
        <v>0</v>
      </c>
      <c r="L74" s="22">
        <f t="shared" si="4"/>
        <v>0</v>
      </c>
    </row>
    <row r="75" spans="1:12" hidden="1" x14ac:dyDescent="0.25">
      <c r="A75" t="s">
        <v>2203</v>
      </c>
      <c r="B75" s="7" t="s">
        <v>498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1">
        <v>0</v>
      </c>
      <c r="I75" s="21"/>
      <c r="J75" s="21">
        <v>0</v>
      </c>
      <c r="K75" s="21">
        <v>0</v>
      </c>
      <c r="L75" s="22">
        <f t="shared" si="4"/>
        <v>0</v>
      </c>
    </row>
    <row r="76" spans="1:12" hidden="1" x14ac:dyDescent="0.25">
      <c r="A76" t="s">
        <v>2204</v>
      </c>
      <c r="B76" s="7" t="s">
        <v>500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1">
        <v>0</v>
      </c>
      <c r="I76" s="21"/>
      <c r="J76" s="21">
        <v>0</v>
      </c>
      <c r="K76" s="21">
        <v>0</v>
      </c>
      <c r="L76" s="22">
        <f t="shared" si="4"/>
        <v>0</v>
      </c>
    </row>
    <row r="77" spans="1:12" x14ac:dyDescent="0.25">
      <c r="C77" s="22"/>
      <c r="D77" s="22"/>
      <c r="E77" s="22"/>
      <c r="F77" s="22"/>
      <c r="G77" s="22"/>
      <c r="H77" s="21"/>
      <c r="I77" s="21"/>
      <c r="J77" s="21"/>
      <c r="K77" s="21"/>
      <c r="L77" s="22"/>
    </row>
    <row r="78" spans="1:12" x14ac:dyDescent="0.25">
      <c r="C78" s="22"/>
      <c r="D78" s="22"/>
      <c r="E78" s="22"/>
      <c r="F78" s="22"/>
      <c r="G78" s="22"/>
      <c r="H78" s="21"/>
      <c r="I78" s="21"/>
      <c r="J78" s="21"/>
      <c r="K78" s="21"/>
      <c r="L78" s="22"/>
    </row>
    <row r="79" spans="1:12" x14ac:dyDescent="0.25">
      <c r="A79" t="s">
        <v>109</v>
      </c>
      <c r="C79" s="22"/>
      <c r="D79" s="22"/>
      <c r="E79" s="22"/>
      <c r="F79" s="22"/>
      <c r="G79" s="22"/>
      <c r="H79" s="21"/>
      <c r="I79" s="21"/>
      <c r="J79" s="21"/>
      <c r="K79" s="21"/>
      <c r="L79" s="22"/>
    </row>
    <row r="80" spans="1:12" x14ac:dyDescent="0.25">
      <c r="B80" t="s">
        <v>489</v>
      </c>
      <c r="C80" s="20">
        <f t="shared" ref="C80:H80" si="5">SUM(C69:C76)</f>
        <v>162667</v>
      </c>
      <c r="D80" s="20">
        <f t="shared" si="5"/>
        <v>91136</v>
      </c>
      <c r="E80" s="20">
        <f t="shared" si="5"/>
        <v>98855</v>
      </c>
      <c r="F80" s="20">
        <f t="shared" si="5"/>
        <v>99500</v>
      </c>
      <c r="G80" s="20">
        <f t="shared" si="5"/>
        <v>91744.33</v>
      </c>
      <c r="H80" s="20">
        <f t="shared" si="5"/>
        <v>99500</v>
      </c>
      <c r="I80" s="20"/>
      <c r="J80" s="20">
        <f>SUM(J69:J76)</f>
        <v>103000</v>
      </c>
      <c r="K80" s="20">
        <f>SUM(K69:K76)</f>
        <v>0</v>
      </c>
      <c r="L80" s="20">
        <f>SUM(L69:L76)</f>
        <v>103000</v>
      </c>
    </row>
    <row r="81" spans="1:12" x14ac:dyDescent="0.25">
      <c r="C81" s="22"/>
      <c r="D81" s="22"/>
      <c r="E81" s="22"/>
      <c r="F81" s="22"/>
      <c r="G81" s="22"/>
      <c r="H81" s="21"/>
      <c r="I81" s="21"/>
      <c r="J81" s="21"/>
      <c r="K81" s="21"/>
      <c r="L81" s="22"/>
    </row>
    <row r="82" spans="1:12" x14ac:dyDescent="0.25">
      <c r="A82" t="s">
        <v>501</v>
      </c>
      <c r="C82" s="22"/>
      <c r="D82" s="22"/>
      <c r="E82" s="22"/>
      <c r="F82" s="22"/>
      <c r="G82" s="22"/>
      <c r="H82" s="21"/>
      <c r="I82" s="21"/>
      <c r="J82" s="21"/>
      <c r="K82" s="21"/>
      <c r="L82" s="22"/>
    </row>
    <row r="83" spans="1:12" x14ac:dyDescent="0.25">
      <c r="A83" t="s">
        <v>18</v>
      </c>
      <c r="C83" s="22"/>
      <c r="D83" s="22"/>
      <c r="E83" s="22"/>
      <c r="F83" s="22"/>
      <c r="G83" s="22"/>
      <c r="H83" s="21"/>
      <c r="I83" s="21"/>
      <c r="J83" s="21"/>
      <c r="K83" s="21"/>
      <c r="L83" s="22"/>
    </row>
    <row r="84" spans="1:12" x14ac:dyDescent="0.25">
      <c r="A84" t="s">
        <v>2205</v>
      </c>
      <c r="B84" s="7" t="s">
        <v>2206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1">
        <v>0</v>
      </c>
      <c r="I84" s="21"/>
      <c r="J84" s="21">
        <v>0</v>
      </c>
      <c r="K84" s="21">
        <v>0</v>
      </c>
      <c r="L84" s="22">
        <f>SUM(J84+K84)</f>
        <v>0</v>
      </c>
    </row>
    <row r="85" spans="1:12" x14ac:dyDescent="0.25">
      <c r="A85" t="s">
        <v>2207</v>
      </c>
      <c r="B85" s="7" t="s">
        <v>509</v>
      </c>
      <c r="C85" s="22">
        <v>5756</v>
      </c>
      <c r="D85" s="22">
        <v>31128</v>
      </c>
      <c r="E85" s="22">
        <v>22251</v>
      </c>
      <c r="F85" s="22">
        <v>50000</v>
      </c>
      <c r="G85" s="22">
        <v>39764.269999999997</v>
      </c>
      <c r="H85" s="21">
        <v>49000</v>
      </c>
      <c r="I85" s="21"/>
      <c r="J85" s="21">
        <v>53500</v>
      </c>
      <c r="K85" s="21">
        <v>0</v>
      </c>
      <c r="L85" s="22">
        <f t="shared" ref="L85:L92" si="6">SUM(J85+K85)</f>
        <v>53500</v>
      </c>
    </row>
    <row r="86" spans="1:12" x14ac:dyDescent="0.25">
      <c r="B86" s="7" t="s">
        <v>3741</v>
      </c>
      <c r="C86" s="22"/>
      <c r="D86" s="22"/>
      <c r="E86" s="22"/>
      <c r="F86" s="22"/>
      <c r="G86" s="22"/>
      <c r="H86" s="21"/>
      <c r="I86" s="21">
        <v>3500</v>
      </c>
      <c r="J86" s="21"/>
      <c r="K86" s="21"/>
      <c r="L86" s="22"/>
    </row>
    <row r="87" spans="1:12" x14ac:dyDescent="0.25">
      <c r="B87" s="7" t="s">
        <v>3742</v>
      </c>
      <c r="C87" s="22"/>
      <c r="D87" s="22"/>
      <c r="E87" s="22"/>
      <c r="F87" s="22"/>
      <c r="G87" s="22"/>
      <c r="H87" s="21"/>
      <c r="I87" s="21">
        <v>50000</v>
      </c>
      <c r="J87" s="21"/>
      <c r="K87" s="21"/>
      <c r="L87" s="22"/>
    </row>
    <row r="88" spans="1:12" x14ac:dyDescent="0.25">
      <c r="A88" t="s">
        <v>2208</v>
      </c>
      <c r="B88" s="7" t="s">
        <v>519</v>
      </c>
      <c r="C88" s="22">
        <v>0</v>
      </c>
      <c r="D88" s="22">
        <v>110</v>
      </c>
      <c r="E88" s="22">
        <v>0</v>
      </c>
      <c r="F88" s="22">
        <v>110</v>
      </c>
      <c r="G88" s="22">
        <v>385.12</v>
      </c>
      <c r="H88" s="21">
        <v>500</v>
      </c>
      <c r="I88" s="21"/>
      <c r="J88" s="21">
        <v>2000</v>
      </c>
      <c r="K88" s="21">
        <v>0</v>
      </c>
      <c r="L88" s="22">
        <f t="shared" si="6"/>
        <v>2000</v>
      </c>
    </row>
    <row r="89" spans="1:12" x14ac:dyDescent="0.25">
      <c r="B89" s="7" t="s">
        <v>3743</v>
      </c>
      <c r="C89" s="22"/>
      <c r="D89" s="22"/>
      <c r="E89" s="22"/>
      <c r="F89" s="22"/>
      <c r="G89" s="22"/>
      <c r="H89" s="21"/>
      <c r="I89" s="21"/>
      <c r="J89" s="21"/>
      <c r="K89" s="21"/>
      <c r="L89" s="22"/>
    </row>
    <row r="90" spans="1:12" x14ac:dyDescent="0.25">
      <c r="A90" t="s">
        <v>2209</v>
      </c>
      <c r="B90" s="7" t="s">
        <v>521</v>
      </c>
      <c r="C90" s="22">
        <v>3572</v>
      </c>
      <c r="D90" s="22">
        <v>0</v>
      </c>
      <c r="E90" s="22">
        <v>2023</v>
      </c>
      <c r="F90" s="22">
        <v>3000</v>
      </c>
      <c r="G90" s="22">
        <v>3523.76</v>
      </c>
      <c r="H90" s="21">
        <v>4000</v>
      </c>
      <c r="I90" s="21"/>
      <c r="J90" s="21">
        <v>25000</v>
      </c>
      <c r="K90" s="21">
        <v>0</v>
      </c>
      <c r="L90" s="22">
        <f t="shared" si="6"/>
        <v>25000</v>
      </c>
    </row>
    <row r="91" spans="1:12" x14ac:dyDescent="0.25">
      <c r="B91" s="7" t="s">
        <v>3744</v>
      </c>
      <c r="C91" s="22"/>
      <c r="D91" s="22"/>
      <c r="E91" s="22"/>
      <c r="F91" s="22"/>
      <c r="G91" s="22"/>
      <c r="H91" s="21"/>
      <c r="I91" s="21"/>
      <c r="J91" s="21"/>
      <c r="K91" s="21"/>
      <c r="L91" s="22"/>
    </row>
    <row r="92" spans="1:12" x14ac:dyDescent="0.25">
      <c r="A92" t="s">
        <v>2210</v>
      </c>
      <c r="B92" s="7" t="s">
        <v>2211</v>
      </c>
      <c r="C92" s="22">
        <v>35250</v>
      </c>
      <c r="D92" s="22">
        <v>400</v>
      </c>
      <c r="E92" s="22">
        <v>0</v>
      </c>
      <c r="F92" s="22">
        <v>0</v>
      </c>
      <c r="G92" s="22">
        <v>0</v>
      </c>
      <c r="H92" s="21">
        <v>0</v>
      </c>
      <c r="I92" s="21"/>
      <c r="J92" s="21">
        <v>0</v>
      </c>
      <c r="K92" s="21">
        <v>0</v>
      </c>
      <c r="L92" s="22">
        <f t="shared" si="6"/>
        <v>0</v>
      </c>
    </row>
    <row r="93" spans="1:12" x14ac:dyDescent="0.25">
      <c r="C93" s="22"/>
      <c r="D93" s="22"/>
      <c r="E93" s="22"/>
      <c r="F93" s="22"/>
      <c r="G93" s="22"/>
      <c r="H93" s="21"/>
      <c r="I93" s="21"/>
      <c r="J93" s="21"/>
      <c r="K93" s="21"/>
      <c r="L93" s="22"/>
    </row>
    <row r="94" spans="1:12" x14ac:dyDescent="0.25">
      <c r="C94" s="22"/>
      <c r="D94" s="22"/>
      <c r="E94" s="22"/>
      <c r="F94" s="22"/>
      <c r="G94" s="22"/>
      <c r="H94" s="21"/>
      <c r="I94" s="21"/>
      <c r="J94" s="21"/>
      <c r="K94" s="21"/>
      <c r="L94" s="22"/>
    </row>
    <row r="95" spans="1:12" x14ac:dyDescent="0.25">
      <c r="A95" t="s">
        <v>109</v>
      </c>
      <c r="C95" s="22"/>
      <c r="D95" s="22"/>
      <c r="E95" s="22"/>
      <c r="F95" s="22"/>
      <c r="G95" s="22"/>
      <c r="H95" s="21"/>
      <c r="I95" s="21"/>
      <c r="J95" s="21"/>
      <c r="K95" s="21"/>
      <c r="L95" s="22"/>
    </row>
    <row r="96" spans="1:12" x14ac:dyDescent="0.25">
      <c r="B96" t="s">
        <v>501</v>
      </c>
      <c r="C96" s="20">
        <f t="shared" ref="C96:H96" si="7">SUM(C84:C92)</f>
        <v>44578</v>
      </c>
      <c r="D96" s="20">
        <f t="shared" si="7"/>
        <v>31638</v>
      </c>
      <c r="E96" s="20">
        <f t="shared" si="7"/>
        <v>24274</v>
      </c>
      <c r="F96" s="20">
        <f t="shared" si="7"/>
        <v>53110</v>
      </c>
      <c r="G96" s="20">
        <f t="shared" si="7"/>
        <v>43673.15</v>
      </c>
      <c r="H96" s="20">
        <f t="shared" si="7"/>
        <v>53500</v>
      </c>
      <c r="I96" s="20"/>
      <c r="J96" s="20">
        <f>SUM(J84:J92)</f>
        <v>80500</v>
      </c>
      <c r="K96" s="20">
        <f>SUM(K84:K92)</f>
        <v>0</v>
      </c>
      <c r="L96" s="20">
        <f>SUM(L84:L92)</f>
        <v>80500</v>
      </c>
    </row>
    <row r="97" spans="1:12" x14ac:dyDescent="0.25">
      <c r="C97" s="22"/>
      <c r="D97" s="22"/>
      <c r="E97" s="22"/>
      <c r="F97" s="22"/>
      <c r="G97" s="22"/>
      <c r="H97" s="21"/>
      <c r="I97" s="21"/>
      <c r="J97" s="21"/>
      <c r="K97" s="21"/>
      <c r="L97" s="22"/>
    </row>
    <row r="98" spans="1:12" x14ac:dyDescent="0.25">
      <c r="A98" t="s">
        <v>530</v>
      </c>
      <c r="C98" s="22"/>
      <c r="D98" s="22"/>
      <c r="E98" s="22"/>
      <c r="F98" s="22"/>
      <c r="G98" s="22"/>
      <c r="H98" s="21"/>
      <c r="I98" s="21"/>
      <c r="J98" s="21"/>
      <c r="K98" s="21"/>
      <c r="L98" s="22"/>
    </row>
    <row r="99" spans="1:12" x14ac:dyDescent="0.25">
      <c r="A99" t="s">
        <v>18</v>
      </c>
      <c r="B99" s="7" t="s">
        <v>526</v>
      </c>
      <c r="C99" s="22"/>
      <c r="D99" s="22"/>
      <c r="E99" s="22"/>
      <c r="F99" s="22"/>
      <c r="G99" s="22"/>
      <c r="H99" s="21"/>
      <c r="I99" s="21"/>
      <c r="J99" s="21"/>
      <c r="K99" s="21"/>
      <c r="L99" s="22"/>
    </row>
    <row r="100" spans="1:12" x14ac:dyDescent="0.25">
      <c r="A100" t="s">
        <v>2212</v>
      </c>
      <c r="B100" s="7" t="s">
        <v>1282</v>
      </c>
      <c r="C100" s="22">
        <v>-43424</v>
      </c>
      <c r="D100" s="22">
        <v>0</v>
      </c>
      <c r="E100" s="22">
        <v>87997</v>
      </c>
      <c r="F100" s="22">
        <v>73500</v>
      </c>
      <c r="G100" s="22">
        <v>68639</v>
      </c>
      <c r="H100" s="21">
        <v>68639</v>
      </c>
      <c r="I100" s="21"/>
      <c r="J100" s="21">
        <v>0</v>
      </c>
      <c r="K100" s="21">
        <v>3900</v>
      </c>
      <c r="L100" s="22">
        <f>SUM(J100+K100)</f>
        <v>3900</v>
      </c>
    </row>
    <row r="101" spans="1:12" x14ac:dyDescent="0.25">
      <c r="B101" s="7" t="s">
        <v>3745</v>
      </c>
      <c r="C101" s="22"/>
      <c r="D101" s="22"/>
      <c r="E101" s="22"/>
      <c r="F101" s="22"/>
      <c r="G101" s="22"/>
      <c r="H101" s="21"/>
      <c r="I101" s="21">
        <v>3900</v>
      </c>
      <c r="J101" s="21"/>
      <c r="K101" s="21"/>
      <c r="L101" s="22"/>
    </row>
    <row r="102" spans="1:12" x14ac:dyDescent="0.25">
      <c r="A102" t="s">
        <v>2213</v>
      </c>
      <c r="B102" s="7" t="s">
        <v>534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1">
        <v>0</v>
      </c>
      <c r="I102" s="21"/>
      <c r="J102" s="21">
        <v>0</v>
      </c>
      <c r="K102" s="21">
        <v>0</v>
      </c>
      <c r="L102" s="22">
        <f t="shared" ref="L102:L106" si="8">SUM(J102+K102)</f>
        <v>0</v>
      </c>
    </row>
    <row r="103" spans="1:12" x14ac:dyDescent="0.25">
      <c r="A103" t="s">
        <v>2214</v>
      </c>
      <c r="B103" s="7" t="s">
        <v>1412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1">
        <v>0</v>
      </c>
      <c r="I103" s="21"/>
      <c r="J103" s="21">
        <v>0</v>
      </c>
      <c r="K103" s="21">
        <v>40000</v>
      </c>
      <c r="L103" s="22">
        <f t="shared" si="8"/>
        <v>40000</v>
      </c>
    </row>
    <row r="104" spans="1:12" x14ac:dyDescent="0.25">
      <c r="B104" s="7" t="s">
        <v>3746</v>
      </c>
      <c r="C104" s="22"/>
      <c r="D104" s="22"/>
      <c r="E104" s="22"/>
      <c r="F104" s="22"/>
      <c r="G104" s="22"/>
      <c r="H104" s="21"/>
      <c r="I104" s="21"/>
      <c r="J104" s="21"/>
      <c r="K104" s="21"/>
      <c r="L104" s="22"/>
    </row>
    <row r="105" spans="1:12" x14ac:dyDescent="0.25">
      <c r="A105" t="s">
        <v>2215</v>
      </c>
      <c r="B105" s="7" t="s">
        <v>2216</v>
      </c>
      <c r="C105" s="22">
        <v>43424</v>
      </c>
      <c r="D105" s="22">
        <v>0</v>
      </c>
      <c r="E105" s="22">
        <v>663679</v>
      </c>
      <c r="F105" s="22">
        <v>0</v>
      </c>
      <c r="G105" s="22">
        <v>0</v>
      </c>
      <c r="H105" s="21">
        <v>0</v>
      </c>
      <c r="I105" s="21"/>
      <c r="J105" s="21">
        <v>0</v>
      </c>
      <c r="K105" s="21">
        <v>0</v>
      </c>
      <c r="L105" s="22">
        <f t="shared" si="8"/>
        <v>0</v>
      </c>
    </row>
    <row r="106" spans="1:12" x14ac:dyDescent="0.25">
      <c r="A106" t="s">
        <v>2217</v>
      </c>
      <c r="B106" s="7" t="s">
        <v>660</v>
      </c>
      <c r="C106" s="22">
        <v>0</v>
      </c>
      <c r="D106" s="22">
        <v>0</v>
      </c>
      <c r="E106" s="22">
        <v>58294</v>
      </c>
      <c r="F106" s="22">
        <v>70000</v>
      </c>
      <c r="G106" s="22">
        <v>58293.75</v>
      </c>
      <c r="H106" s="21">
        <v>58294</v>
      </c>
      <c r="I106" s="21"/>
      <c r="J106" s="21">
        <v>0</v>
      </c>
      <c r="K106" s="21">
        <v>0</v>
      </c>
      <c r="L106" s="22">
        <f t="shared" si="8"/>
        <v>0</v>
      </c>
    </row>
    <row r="107" spans="1:12" x14ac:dyDescent="0.25">
      <c r="C107" s="22"/>
      <c r="D107" s="22"/>
      <c r="E107" s="22"/>
      <c r="F107" s="22"/>
      <c r="G107" s="22"/>
      <c r="H107" s="21"/>
      <c r="I107" s="21"/>
      <c r="J107" s="21"/>
      <c r="K107" s="21"/>
      <c r="L107" s="22"/>
    </row>
    <row r="108" spans="1:12" x14ac:dyDescent="0.25">
      <c r="C108" s="22"/>
      <c r="D108" s="22"/>
      <c r="E108" s="22"/>
      <c r="F108" s="22"/>
      <c r="G108" s="22"/>
      <c r="H108" s="21"/>
      <c r="I108" s="21"/>
      <c r="J108" s="21"/>
      <c r="K108" s="21"/>
      <c r="L108" s="22"/>
    </row>
    <row r="109" spans="1:12" x14ac:dyDescent="0.25">
      <c r="A109" t="s">
        <v>109</v>
      </c>
      <c r="C109" s="22"/>
      <c r="D109" s="22"/>
      <c r="E109" s="22"/>
      <c r="F109" s="22"/>
      <c r="G109" s="22"/>
      <c r="H109" s="21"/>
      <c r="I109" s="21"/>
      <c r="J109" s="21"/>
      <c r="K109" s="21"/>
      <c r="L109" s="22"/>
    </row>
    <row r="110" spans="1:12" x14ac:dyDescent="0.25">
      <c r="B110" t="s">
        <v>530</v>
      </c>
      <c r="C110" s="20">
        <f t="shared" ref="C110:H110" si="9">SUM(C100:C106)</f>
        <v>0</v>
      </c>
      <c r="D110" s="20">
        <f t="shared" si="9"/>
        <v>0</v>
      </c>
      <c r="E110" s="20">
        <f t="shared" si="9"/>
        <v>809970</v>
      </c>
      <c r="F110" s="20">
        <f t="shared" si="9"/>
        <v>143500</v>
      </c>
      <c r="G110" s="20">
        <f t="shared" si="9"/>
        <v>126932.75</v>
      </c>
      <c r="H110" s="20">
        <f t="shared" si="9"/>
        <v>126933</v>
      </c>
      <c r="I110" s="20"/>
      <c r="J110" s="20">
        <f>SUM(J100:J106)</f>
        <v>0</v>
      </c>
      <c r="K110" s="20">
        <f>SUM(K100:K106)</f>
        <v>43900</v>
      </c>
      <c r="L110" s="20">
        <f>SUM(L100:L106)</f>
        <v>43900</v>
      </c>
    </row>
    <row r="111" spans="1:12" x14ac:dyDescent="0.25">
      <c r="C111" s="22"/>
      <c r="D111" s="22"/>
      <c r="E111" s="22"/>
      <c r="F111" s="22"/>
      <c r="G111" s="22"/>
      <c r="H111" s="21"/>
      <c r="I111" s="21"/>
      <c r="J111" s="21"/>
      <c r="K111" s="21"/>
      <c r="L111" s="22"/>
    </row>
    <row r="112" spans="1:12" x14ac:dyDescent="0.25">
      <c r="C112" s="22"/>
      <c r="D112" s="22"/>
      <c r="E112" s="22"/>
      <c r="F112" s="22"/>
      <c r="G112" s="22"/>
      <c r="H112" s="21"/>
      <c r="I112" s="21"/>
      <c r="J112" s="21"/>
      <c r="K112" s="21"/>
      <c r="L112" s="22"/>
    </row>
    <row r="113" spans="1:12" x14ac:dyDescent="0.25">
      <c r="A113" t="s">
        <v>109</v>
      </c>
      <c r="C113" s="22"/>
      <c r="D113" s="22"/>
      <c r="E113" s="22"/>
      <c r="F113" s="22"/>
      <c r="G113" s="22"/>
      <c r="H113" s="21"/>
      <c r="I113" s="21"/>
      <c r="J113" s="21"/>
      <c r="K113" s="21"/>
      <c r="L113" s="22"/>
    </row>
    <row r="114" spans="1:12" x14ac:dyDescent="0.25">
      <c r="A114">
        <v>60</v>
      </c>
      <c r="B114" t="s">
        <v>1236</v>
      </c>
      <c r="C114" s="20">
        <f t="shared" ref="C114:H114" si="10">C37+C65+C80+C96+C110</f>
        <v>1892876</v>
      </c>
      <c r="D114" s="20">
        <f t="shared" si="10"/>
        <v>1303099</v>
      </c>
      <c r="E114" s="20">
        <f t="shared" si="10"/>
        <v>1876300</v>
      </c>
      <c r="F114" s="20">
        <f t="shared" si="10"/>
        <v>1648416</v>
      </c>
      <c r="G114" s="20">
        <f t="shared" si="10"/>
        <v>1092576.08</v>
      </c>
      <c r="H114" s="20">
        <f t="shared" si="10"/>
        <v>1206722.76</v>
      </c>
      <c r="I114" s="20"/>
      <c r="J114" s="20">
        <f>J37+J65+J80+J96+J110</f>
        <v>1207131.807</v>
      </c>
      <c r="K114" s="20">
        <f>K37+K65+K80+K96+K110</f>
        <v>43900</v>
      </c>
      <c r="L114" s="20">
        <f>L37+L65+L80+L96+L110</f>
        <v>1251031.807</v>
      </c>
    </row>
    <row r="115" spans="1:12" x14ac:dyDescent="0.25">
      <c r="C115" s="22"/>
      <c r="D115" s="22"/>
      <c r="E115" s="22"/>
      <c r="F115" s="22"/>
      <c r="G115" s="22"/>
      <c r="H115" s="21"/>
      <c r="I115" s="21"/>
      <c r="J115" s="21"/>
      <c r="K115" s="21"/>
      <c r="L115" s="22"/>
    </row>
  </sheetData>
  <sheetProtection algorithmName="SHA-512" hashValue="SuEpc+b1VyObPC9im9nvDt2bQz4i1Q5ZW3a65lcw+lYonlJIjh9tyiWPgK27BI5q9FwKnzlrK0tL5si+YyEVUQ==" saltValue="JhfDPAO+VHQmKwnchhQg7Q==" spinCount="100000" sheet="1" objects="1" scenarios="1" insertRows="0"/>
  <pageMargins left="0.25" right="0.25" top="0.75" bottom="0.75" header="0.3" footer="0.3"/>
  <pageSetup scale="74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8476A-9625-4524-A111-A4C758E7F2B6}">
  <sheetPr>
    <pageSetUpPr fitToPage="1"/>
  </sheetPr>
  <dimension ref="A1:L99"/>
  <sheetViews>
    <sheetView zoomScaleNormal="100" workbookViewId="0">
      <selection activeCell="J29" sqref="J29"/>
    </sheetView>
  </sheetViews>
  <sheetFormatPr defaultRowHeight="15" x14ac:dyDescent="0.25"/>
  <cols>
    <col min="2" max="2" width="32.5703125" style="7" bestFit="1" customWidth="1"/>
    <col min="3" max="3" width="13.140625" style="12" bestFit="1" customWidth="1"/>
    <col min="4" max="4" width="14.85546875" style="12" bestFit="1" customWidth="1"/>
    <col min="5" max="5" width="13.85546875" style="12" bestFit="1" customWidth="1"/>
    <col min="6" max="6" width="14" style="12" bestFit="1" customWidth="1"/>
    <col min="7" max="7" width="12.7109375" style="12" bestFit="1" customWidth="1"/>
    <col min="8" max="8" width="13.140625" style="11" bestFit="1" customWidth="1"/>
    <col min="9" max="9" width="10.7109375" style="11" customWidth="1"/>
    <col min="10" max="10" width="13.140625" style="11" bestFit="1" customWidth="1"/>
    <col min="11" max="11" width="14.5703125" style="11" bestFit="1" customWidth="1"/>
    <col min="12" max="12" width="14" style="12" bestFit="1" customWidth="1"/>
  </cols>
  <sheetData>
    <row r="1" spans="1:12" x14ac:dyDescent="0.25">
      <c r="A1" t="s">
        <v>3726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3747</v>
      </c>
    </row>
    <row r="11" spans="1:12" x14ac:dyDescent="0.25">
      <c r="A11" t="s">
        <v>441</v>
      </c>
      <c r="C11" s="22"/>
      <c r="D11" s="22"/>
      <c r="E11" s="22"/>
      <c r="F11" s="22"/>
      <c r="G11" s="22"/>
      <c r="H11" s="21"/>
      <c r="I11" s="21"/>
      <c r="J11" s="21"/>
      <c r="K11" s="21"/>
      <c r="L11" s="22"/>
    </row>
    <row r="12" spans="1:12" x14ac:dyDescent="0.25">
      <c r="A12" t="s">
        <v>18</v>
      </c>
      <c r="B12" s="7" t="s">
        <v>228</v>
      </c>
      <c r="C12" s="22"/>
      <c r="D12" s="22"/>
      <c r="E12" s="22"/>
      <c r="F12" s="22"/>
      <c r="G12" s="22"/>
      <c r="H12" s="21"/>
      <c r="I12" s="21"/>
      <c r="J12" s="21"/>
      <c r="K12" s="21"/>
      <c r="L12" s="22"/>
    </row>
    <row r="13" spans="1:12" x14ac:dyDescent="0.25">
      <c r="A13" t="s">
        <v>2220</v>
      </c>
      <c r="B13" s="7" t="s">
        <v>569</v>
      </c>
      <c r="C13" s="22">
        <v>2646</v>
      </c>
      <c r="D13" s="22">
        <v>-2514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2221</v>
      </c>
      <c r="B14" s="7" t="s">
        <v>396</v>
      </c>
      <c r="C14" s="22">
        <v>269</v>
      </c>
      <c r="D14" s="22">
        <v>9</v>
      </c>
      <c r="E14" s="22">
        <v>0</v>
      </c>
      <c r="F14" s="22">
        <v>504</v>
      </c>
      <c r="G14" s="22">
        <v>63</v>
      </c>
      <c r="H14" s="21">
        <v>63</v>
      </c>
      <c r="I14" s="21"/>
      <c r="J14" s="21">
        <v>63</v>
      </c>
      <c r="K14" s="21">
        <v>0</v>
      </c>
      <c r="L14" s="22">
        <f t="shared" ref="L14:L31" si="0">SUM(J14+K14)</f>
        <v>63</v>
      </c>
    </row>
    <row r="15" spans="1:12" x14ac:dyDescent="0.25">
      <c r="A15" t="s">
        <v>2222</v>
      </c>
      <c r="B15" s="7" t="s">
        <v>398</v>
      </c>
      <c r="C15" s="22">
        <v>7799</v>
      </c>
      <c r="D15" s="22">
        <v>3282</v>
      </c>
      <c r="E15" s="22">
        <v>0</v>
      </c>
      <c r="F15" s="22">
        <v>10166</v>
      </c>
      <c r="G15" s="22">
        <v>2540.86</v>
      </c>
      <c r="H15" s="21">
        <v>3500</v>
      </c>
      <c r="I15" s="21"/>
      <c r="J15" s="21">
        <v>4864.29</v>
      </c>
      <c r="K15" s="21">
        <v>0</v>
      </c>
      <c r="L15" s="22">
        <f t="shared" si="0"/>
        <v>4864.29</v>
      </c>
    </row>
    <row r="16" spans="1:12" x14ac:dyDescent="0.25">
      <c r="A16" t="s">
        <v>2223</v>
      </c>
      <c r="B16" s="7" t="s">
        <v>400</v>
      </c>
      <c r="C16" s="22">
        <v>8414</v>
      </c>
      <c r="D16" s="22">
        <v>3537</v>
      </c>
      <c r="E16" s="22">
        <v>0</v>
      </c>
      <c r="F16" s="22">
        <v>12612</v>
      </c>
      <c r="G16" s="22">
        <v>1855.61</v>
      </c>
      <c r="H16" s="21">
        <v>3200</v>
      </c>
      <c r="I16" s="21"/>
      <c r="J16" s="21">
        <f>1463+4311.14</f>
        <v>5774.14</v>
      </c>
      <c r="K16" s="21">
        <v>0</v>
      </c>
      <c r="L16" s="22">
        <f t="shared" si="0"/>
        <v>5774.14</v>
      </c>
    </row>
    <row r="17" spans="1:12" x14ac:dyDescent="0.25">
      <c r="A17" t="s">
        <v>2224</v>
      </c>
      <c r="B17" s="7" t="s">
        <v>574</v>
      </c>
      <c r="C17" s="22">
        <v>20390</v>
      </c>
      <c r="D17" s="22">
        <v>7695</v>
      </c>
      <c r="E17" s="22">
        <v>0</v>
      </c>
      <c r="F17" s="22">
        <v>41144</v>
      </c>
      <c r="G17" s="22">
        <v>10540.82</v>
      </c>
      <c r="H17" s="21">
        <v>11750</v>
      </c>
      <c r="I17" s="21"/>
      <c r="J17" s="21">
        <v>9684.24</v>
      </c>
      <c r="K17" s="21">
        <v>0</v>
      </c>
      <c r="L17" s="22">
        <f t="shared" si="0"/>
        <v>9684.24</v>
      </c>
    </row>
    <row r="18" spans="1:12" x14ac:dyDescent="0.25">
      <c r="A18" t="s">
        <v>2225</v>
      </c>
      <c r="B18" s="7" t="s">
        <v>404</v>
      </c>
      <c r="C18" s="22">
        <v>1052</v>
      </c>
      <c r="D18" s="22">
        <v>442</v>
      </c>
      <c r="E18" s="22">
        <v>0</v>
      </c>
      <c r="F18" s="22">
        <v>1308</v>
      </c>
      <c r="G18" s="22">
        <v>236.33</v>
      </c>
      <c r="H18" s="21">
        <v>650</v>
      </c>
      <c r="I18" s="21"/>
      <c r="J18" s="21">
        <v>720</v>
      </c>
      <c r="K18" s="21">
        <v>0</v>
      </c>
      <c r="L18" s="22">
        <f t="shared" si="0"/>
        <v>720</v>
      </c>
    </row>
    <row r="19" spans="1:12" x14ac:dyDescent="0.25">
      <c r="A19" t="s">
        <v>2226</v>
      </c>
      <c r="B19" s="7" t="s">
        <v>406</v>
      </c>
      <c r="C19" s="22">
        <v>1307</v>
      </c>
      <c r="D19" s="22">
        <v>1992</v>
      </c>
      <c r="E19" s="22">
        <v>233</v>
      </c>
      <c r="F19" s="22">
        <v>266</v>
      </c>
      <c r="G19" s="22">
        <v>768.43</v>
      </c>
      <c r="H19" s="21">
        <v>768</v>
      </c>
      <c r="I19" s="21"/>
      <c r="J19" s="21">
        <f>G19*10%+G19</f>
        <v>845.27299999999991</v>
      </c>
      <c r="K19" s="21">
        <v>0</v>
      </c>
      <c r="L19" s="22">
        <f t="shared" si="0"/>
        <v>845.27299999999991</v>
      </c>
    </row>
    <row r="20" spans="1:12" x14ac:dyDescent="0.25">
      <c r="A20" t="s">
        <v>2227</v>
      </c>
      <c r="B20" s="7" t="s">
        <v>424</v>
      </c>
      <c r="C20" s="22">
        <v>381</v>
      </c>
      <c r="D20" s="22">
        <v>381</v>
      </c>
      <c r="E20" s="22">
        <v>0</v>
      </c>
      <c r="F20" s="22">
        <v>69</v>
      </c>
      <c r="G20" s="22">
        <v>0</v>
      </c>
      <c r="H20" s="21">
        <v>0</v>
      </c>
      <c r="I20" s="21"/>
      <c r="J20" s="21">
        <v>380.62</v>
      </c>
      <c r="K20" s="21">
        <v>0</v>
      </c>
      <c r="L20" s="22">
        <f t="shared" si="0"/>
        <v>380.62</v>
      </c>
    </row>
    <row r="21" spans="1:12" x14ac:dyDescent="0.25">
      <c r="A21" t="s">
        <v>2228</v>
      </c>
      <c r="B21" s="7" t="s">
        <v>426</v>
      </c>
      <c r="C21" s="22">
        <v>405</v>
      </c>
      <c r="D21" s="22">
        <v>405</v>
      </c>
      <c r="E21" s="22">
        <v>0</v>
      </c>
      <c r="F21" s="22">
        <v>810</v>
      </c>
      <c r="G21" s="22">
        <v>0</v>
      </c>
      <c r="H21" s="21">
        <v>0</v>
      </c>
      <c r="I21" s="21"/>
      <c r="J21" s="21">
        <v>404.91</v>
      </c>
      <c r="K21" s="21">
        <v>0</v>
      </c>
      <c r="L21" s="22">
        <f t="shared" si="0"/>
        <v>404.91</v>
      </c>
    </row>
    <row r="22" spans="1:12" x14ac:dyDescent="0.25">
      <c r="A22" t="s">
        <v>2229</v>
      </c>
      <c r="B22" s="7" t="s">
        <v>1204</v>
      </c>
      <c r="C22" s="22">
        <v>180</v>
      </c>
      <c r="D22" s="22">
        <v>180</v>
      </c>
      <c r="E22" s="22">
        <v>0</v>
      </c>
      <c r="F22" s="22">
        <v>360</v>
      </c>
      <c r="G22" s="22">
        <v>0</v>
      </c>
      <c r="H22" s="21">
        <v>0</v>
      </c>
      <c r="I22" s="21"/>
      <c r="J22" s="21">
        <v>179.95</v>
      </c>
      <c r="K22" s="21">
        <v>0</v>
      </c>
      <c r="L22" s="22">
        <f t="shared" si="0"/>
        <v>179.95</v>
      </c>
    </row>
    <row r="23" spans="1:12" x14ac:dyDescent="0.25">
      <c r="A23" t="s">
        <v>2230</v>
      </c>
      <c r="B23" s="7" t="s">
        <v>428</v>
      </c>
      <c r="C23" s="22">
        <v>346</v>
      </c>
      <c r="D23" s="22">
        <v>0</v>
      </c>
      <c r="E23" s="22">
        <v>0</v>
      </c>
      <c r="F23" s="22">
        <v>0</v>
      </c>
      <c r="G23" s="22">
        <v>0</v>
      </c>
      <c r="H23" s="21">
        <v>0</v>
      </c>
      <c r="I23" s="21"/>
      <c r="J23" s="21">
        <v>0</v>
      </c>
      <c r="K23" s="21">
        <v>0</v>
      </c>
      <c r="L23" s="22">
        <f t="shared" si="0"/>
        <v>0</v>
      </c>
    </row>
    <row r="24" spans="1:12" x14ac:dyDescent="0.25">
      <c r="A24" t="s">
        <v>2231</v>
      </c>
      <c r="B24" s="7" t="s">
        <v>430</v>
      </c>
      <c r="C24" s="22">
        <v>69</v>
      </c>
      <c r="D24" s="22">
        <v>35</v>
      </c>
      <c r="E24" s="22">
        <v>0</v>
      </c>
      <c r="F24" s="22">
        <v>69</v>
      </c>
      <c r="G24" s="22">
        <v>0</v>
      </c>
      <c r="H24" s="21">
        <v>0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2232</v>
      </c>
      <c r="B25" s="7" t="s">
        <v>432</v>
      </c>
      <c r="C25" s="22">
        <v>8150</v>
      </c>
      <c r="D25" s="22">
        <v>6077</v>
      </c>
      <c r="E25" s="22">
        <v>0</v>
      </c>
      <c r="F25" s="22">
        <v>6000</v>
      </c>
      <c r="G25" s="22">
        <v>4932.04</v>
      </c>
      <c r="H25" s="21">
        <v>7000</v>
      </c>
      <c r="I25" s="21"/>
      <c r="J25" s="21">
        <v>6500</v>
      </c>
      <c r="K25" s="21">
        <v>0</v>
      </c>
      <c r="L25" s="22">
        <f t="shared" si="0"/>
        <v>6500</v>
      </c>
    </row>
    <row r="26" spans="1:12" x14ac:dyDescent="0.25">
      <c r="A26" t="s">
        <v>2233</v>
      </c>
      <c r="B26" s="7" t="s">
        <v>434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1">
        <v>0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2234</v>
      </c>
      <c r="B27" s="7" t="s">
        <v>436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2235</v>
      </c>
      <c r="B28" s="7" t="s">
        <v>607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2236</v>
      </c>
      <c r="B29" s="7" t="s">
        <v>2237</v>
      </c>
      <c r="C29" s="22">
        <v>47986</v>
      </c>
      <c r="D29" s="22">
        <v>35448</v>
      </c>
      <c r="E29" s="22">
        <v>0</v>
      </c>
      <c r="F29" s="22">
        <v>57330</v>
      </c>
      <c r="G29" s="22">
        <v>28851.61</v>
      </c>
      <c r="H29" s="21">
        <v>35750</v>
      </c>
      <c r="I29" s="21"/>
      <c r="J29" s="21">
        <v>55144.959999999999</v>
      </c>
      <c r="K29" s="21">
        <v>0</v>
      </c>
      <c r="L29" s="22">
        <f t="shared" si="0"/>
        <v>55144.959999999999</v>
      </c>
    </row>
    <row r="30" spans="1:12" x14ac:dyDescent="0.25">
      <c r="A30" t="s">
        <v>2238</v>
      </c>
      <c r="B30" s="7" t="s">
        <v>2239</v>
      </c>
      <c r="C30" s="22">
        <v>45544</v>
      </c>
      <c r="D30" s="22">
        <v>0</v>
      </c>
      <c r="E30" s="22">
        <v>0</v>
      </c>
      <c r="F30" s="22">
        <v>74256</v>
      </c>
      <c r="G30" s="22">
        <v>0</v>
      </c>
      <c r="H30" s="21">
        <v>0</v>
      </c>
      <c r="I30" s="21"/>
      <c r="J30" s="21">
        <v>0</v>
      </c>
      <c r="K30" s="21">
        <v>0</v>
      </c>
      <c r="L30" s="22">
        <f t="shared" si="0"/>
        <v>0</v>
      </c>
    </row>
    <row r="31" spans="1:12" x14ac:dyDescent="0.25">
      <c r="A31" t="s">
        <v>2240</v>
      </c>
      <c r="B31" s="7" t="s">
        <v>1221</v>
      </c>
      <c r="C31" s="22">
        <v>300</v>
      </c>
      <c r="D31" s="22">
        <v>450</v>
      </c>
      <c r="E31" s="22">
        <v>0</v>
      </c>
      <c r="F31" s="22">
        <v>0</v>
      </c>
      <c r="G31" s="22">
        <v>375</v>
      </c>
      <c r="H31" s="21">
        <v>500</v>
      </c>
      <c r="I31" s="21"/>
      <c r="J31" s="21">
        <v>975</v>
      </c>
      <c r="K31" s="21">
        <v>0</v>
      </c>
      <c r="L31" s="22">
        <f t="shared" si="0"/>
        <v>975</v>
      </c>
    </row>
    <row r="32" spans="1:12" x14ac:dyDescent="0.25">
      <c r="C32" s="22"/>
      <c r="D32" s="22"/>
      <c r="E32" s="22"/>
      <c r="F32" s="22"/>
      <c r="G32" s="22"/>
      <c r="H32" s="21"/>
      <c r="I32" s="21"/>
      <c r="J32" s="21"/>
      <c r="K32" s="21"/>
      <c r="L32" s="22"/>
    </row>
    <row r="33" spans="1:12" x14ac:dyDescent="0.25">
      <c r="C33" s="22"/>
      <c r="D33" s="22"/>
      <c r="E33" s="22"/>
      <c r="F33" s="22"/>
      <c r="G33" s="22"/>
      <c r="H33" s="21"/>
      <c r="I33" s="21"/>
      <c r="J33" s="21"/>
      <c r="K33" s="21"/>
      <c r="L33" s="22"/>
    </row>
    <row r="34" spans="1:12" x14ac:dyDescent="0.25">
      <c r="A34" t="s">
        <v>109</v>
      </c>
      <c r="C34" s="22"/>
      <c r="D34" s="22"/>
      <c r="E34" s="22"/>
      <c r="F34" s="22"/>
      <c r="G34" s="22"/>
      <c r="H34" s="21"/>
      <c r="I34" s="21"/>
      <c r="J34" s="21"/>
      <c r="K34" s="21"/>
      <c r="L34" s="22"/>
    </row>
    <row r="35" spans="1:12" x14ac:dyDescent="0.25">
      <c r="B35" t="s">
        <v>441</v>
      </c>
      <c r="C35" s="20">
        <f t="shared" ref="C35:H35" si="1">SUM(C13:C31)</f>
        <v>145238</v>
      </c>
      <c r="D35" s="20">
        <f t="shared" si="1"/>
        <v>57419</v>
      </c>
      <c r="E35" s="20">
        <f t="shared" si="1"/>
        <v>233</v>
      </c>
      <c r="F35" s="20">
        <f t="shared" si="1"/>
        <v>204894</v>
      </c>
      <c r="G35" s="20">
        <f t="shared" si="1"/>
        <v>50163.7</v>
      </c>
      <c r="H35" s="20">
        <f t="shared" si="1"/>
        <v>63181</v>
      </c>
      <c r="I35" s="20"/>
      <c r="J35" s="20">
        <f>SUM(J13:J31)</f>
        <v>85536.383000000002</v>
      </c>
      <c r="K35" s="20">
        <f>SUM(K13:K31)</f>
        <v>0</v>
      </c>
      <c r="L35" s="20">
        <f>SUM(L13:L31)</f>
        <v>85536.383000000002</v>
      </c>
    </row>
    <row r="36" spans="1:12" x14ac:dyDescent="0.25">
      <c r="C36" s="22"/>
      <c r="D36" s="22"/>
      <c r="E36" s="22"/>
      <c r="F36" s="22"/>
      <c r="G36" s="22"/>
      <c r="H36" s="21"/>
      <c r="I36" s="21"/>
      <c r="J36" s="21"/>
      <c r="K36" s="21"/>
      <c r="L36" s="22"/>
    </row>
    <row r="37" spans="1:12" x14ac:dyDescent="0.25">
      <c r="A37" t="s">
        <v>478</v>
      </c>
      <c r="C37" s="22"/>
      <c r="D37" s="22"/>
      <c r="E37" s="22"/>
      <c r="F37" s="22"/>
      <c r="G37" s="22"/>
      <c r="H37" s="21"/>
      <c r="I37" s="21"/>
      <c r="J37" s="21"/>
      <c r="K37" s="21"/>
      <c r="L37" s="22"/>
    </row>
    <row r="38" spans="1:12" x14ac:dyDescent="0.25">
      <c r="A38" t="s">
        <v>18</v>
      </c>
      <c r="B38" s="7" t="s">
        <v>21</v>
      </c>
      <c r="C38" s="22"/>
      <c r="D38" s="22"/>
      <c r="E38" s="22"/>
      <c r="F38" s="22"/>
      <c r="G38" s="22"/>
      <c r="H38" s="21"/>
      <c r="I38" s="21"/>
      <c r="J38" s="21"/>
      <c r="K38" s="21"/>
      <c r="L38" s="22"/>
    </row>
    <row r="39" spans="1:12" x14ac:dyDescent="0.25">
      <c r="A39" t="s">
        <v>2241</v>
      </c>
      <c r="B39" s="7" t="s">
        <v>445</v>
      </c>
      <c r="C39" s="22">
        <v>3059</v>
      </c>
      <c r="D39" s="22">
        <v>14645</v>
      </c>
      <c r="E39" s="22">
        <v>13924</v>
      </c>
      <c r="F39" s="22">
        <v>15317</v>
      </c>
      <c r="G39" s="22">
        <v>14006.19</v>
      </c>
      <c r="H39" s="21">
        <v>14006</v>
      </c>
      <c r="I39" s="21"/>
      <c r="J39" s="21">
        <f>G39*10%+G39</f>
        <v>15406.809000000001</v>
      </c>
      <c r="K39" s="21">
        <v>0</v>
      </c>
      <c r="L39" s="22">
        <f>SUM(J39+K39)</f>
        <v>15406.809000000001</v>
      </c>
    </row>
    <row r="40" spans="1:12" x14ac:dyDescent="0.25">
      <c r="A40" t="s">
        <v>2242</v>
      </c>
      <c r="B40" s="7" t="s">
        <v>447</v>
      </c>
      <c r="C40" s="22">
        <v>718</v>
      </c>
      <c r="D40" s="22">
        <v>547</v>
      </c>
      <c r="E40" s="22">
        <v>264</v>
      </c>
      <c r="F40" s="22">
        <v>1000</v>
      </c>
      <c r="G40" s="22">
        <v>452.8</v>
      </c>
      <c r="H40" s="21">
        <v>453</v>
      </c>
      <c r="I40" s="21"/>
      <c r="J40" s="21">
        <v>1500</v>
      </c>
      <c r="K40" s="21">
        <v>0</v>
      </c>
      <c r="L40" s="22">
        <f t="shared" ref="L40:L51" si="2">SUM(J40+K40)</f>
        <v>1500</v>
      </c>
    </row>
    <row r="41" spans="1:12" x14ac:dyDescent="0.25">
      <c r="A41" t="s">
        <v>2243</v>
      </c>
      <c r="B41" s="7" t="s">
        <v>449</v>
      </c>
      <c r="C41" s="22">
        <v>0</v>
      </c>
      <c r="D41" s="22">
        <v>0</v>
      </c>
      <c r="E41" s="22">
        <v>206</v>
      </c>
      <c r="F41" s="22">
        <v>350</v>
      </c>
      <c r="G41" s="22">
        <v>687.27</v>
      </c>
      <c r="H41" s="21">
        <v>687</v>
      </c>
      <c r="I41" s="21"/>
      <c r="J41" s="21">
        <v>2500</v>
      </c>
      <c r="K41" s="21">
        <v>0</v>
      </c>
      <c r="L41" s="22">
        <f t="shared" si="2"/>
        <v>2500</v>
      </c>
    </row>
    <row r="42" spans="1:12" x14ac:dyDescent="0.25">
      <c r="A42" t="s">
        <v>2244</v>
      </c>
      <c r="B42" s="7" t="s">
        <v>451</v>
      </c>
      <c r="C42" s="22">
        <v>4261</v>
      </c>
      <c r="D42" s="22">
        <v>1885</v>
      </c>
      <c r="E42" s="22">
        <v>520</v>
      </c>
      <c r="F42" s="22">
        <v>2500</v>
      </c>
      <c r="G42" s="22">
        <v>995</v>
      </c>
      <c r="H42" s="21">
        <v>995</v>
      </c>
      <c r="I42" s="21"/>
      <c r="J42" s="21">
        <v>3000</v>
      </c>
      <c r="K42" s="21">
        <v>0</v>
      </c>
      <c r="L42" s="22">
        <f t="shared" si="2"/>
        <v>3000</v>
      </c>
    </row>
    <row r="43" spans="1:12" x14ac:dyDescent="0.25">
      <c r="A43" t="s">
        <v>2245</v>
      </c>
      <c r="B43" s="7" t="s">
        <v>457</v>
      </c>
      <c r="C43" s="22">
        <v>530</v>
      </c>
      <c r="D43" s="22">
        <v>5299</v>
      </c>
      <c r="E43" s="22">
        <v>6099</v>
      </c>
      <c r="F43" s="22">
        <v>6100</v>
      </c>
      <c r="G43" s="22">
        <v>7733.48</v>
      </c>
      <c r="H43" s="21">
        <v>7733</v>
      </c>
      <c r="I43" s="21"/>
      <c r="J43" s="21">
        <v>3000</v>
      </c>
      <c r="K43" s="21">
        <v>0</v>
      </c>
      <c r="L43" s="22">
        <f t="shared" si="2"/>
        <v>3000</v>
      </c>
    </row>
    <row r="44" spans="1:12" x14ac:dyDescent="0.25">
      <c r="A44" t="s">
        <v>2246</v>
      </c>
      <c r="B44" s="7" t="s">
        <v>465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1">
        <v>0</v>
      </c>
      <c r="I44" s="21"/>
      <c r="J44" s="21">
        <v>0</v>
      </c>
      <c r="K44" s="21">
        <v>0</v>
      </c>
      <c r="L44" s="22">
        <f t="shared" si="2"/>
        <v>0</v>
      </c>
    </row>
    <row r="45" spans="1:12" x14ac:dyDescent="0.25">
      <c r="A45" t="s">
        <v>2247</v>
      </c>
      <c r="B45" s="7" t="s">
        <v>471</v>
      </c>
      <c r="C45" s="22">
        <v>926</v>
      </c>
      <c r="D45" s="22">
        <v>937</v>
      </c>
      <c r="E45" s="22">
        <v>1048</v>
      </c>
      <c r="F45" s="22">
        <v>1200</v>
      </c>
      <c r="G45" s="22">
        <v>1143.5</v>
      </c>
      <c r="H45" s="24">
        <v>1300</v>
      </c>
      <c r="I45" s="21"/>
      <c r="J45" s="21">
        <v>1500</v>
      </c>
      <c r="K45" s="21">
        <v>0</v>
      </c>
      <c r="L45" s="22">
        <f t="shared" si="2"/>
        <v>1500</v>
      </c>
    </row>
    <row r="46" spans="1:12" x14ac:dyDescent="0.25">
      <c r="A46" t="s">
        <v>2248</v>
      </c>
      <c r="B46" s="7" t="s">
        <v>1047</v>
      </c>
      <c r="C46" s="22">
        <v>57847</v>
      </c>
      <c r="D46" s="22">
        <v>52585</v>
      </c>
      <c r="E46" s="22">
        <v>55885</v>
      </c>
      <c r="F46" s="22">
        <v>70000</v>
      </c>
      <c r="G46" s="22">
        <v>47318.879999999997</v>
      </c>
      <c r="H46" s="24">
        <v>60000</v>
      </c>
      <c r="I46" s="21"/>
      <c r="J46" s="21">
        <v>65000</v>
      </c>
      <c r="K46" s="21">
        <v>0</v>
      </c>
      <c r="L46" s="22">
        <f t="shared" si="2"/>
        <v>65000</v>
      </c>
    </row>
    <row r="47" spans="1:12" x14ac:dyDescent="0.25">
      <c r="A47" t="s">
        <v>2249</v>
      </c>
      <c r="B47" s="7" t="s">
        <v>473</v>
      </c>
      <c r="C47" s="22">
        <v>30178</v>
      </c>
      <c r="D47" s="22">
        <v>48421</v>
      </c>
      <c r="E47" s="22">
        <v>40453</v>
      </c>
      <c r="F47" s="22">
        <v>55000</v>
      </c>
      <c r="G47" s="22">
        <v>394704.37</v>
      </c>
      <c r="H47" s="24">
        <v>400000</v>
      </c>
      <c r="I47" s="21"/>
      <c r="J47" s="21">
        <v>205000</v>
      </c>
      <c r="K47" s="21">
        <v>0</v>
      </c>
      <c r="L47" s="22">
        <f t="shared" si="2"/>
        <v>205000</v>
      </c>
    </row>
    <row r="48" spans="1:12" x14ac:dyDescent="0.25">
      <c r="A48" t="s">
        <v>2250</v>
      </c>
      <c r="B48" s="7" t="s">
        <v>1241</v>
      </c>
      <c r="C48" s="22">
        <v>5562</v>
      </c>
      <c r="D48" s="22">
        <v>0</v>
      </c>
      <c r="E48" s="22">
        <v>0</v>
      </c>
      <c r="F48" s="22">
        <v>0</v>
      </c>
      <c r="G48" s="22">
        <v>372000</v>
      </c>
      <c r="H48" s="24">
        <v>372000</v>
      </c>
      <c r="I48" s="21"/>
      <c r="J48" s="21">
        <v>0</v>
      </c>
      <c r="K48" s="21">
        <v>0</v>
      </c>
      <c r="L48" s="22">
        <f t="shared" si="2"/>
        <v>0</v>
      </c>
    </row>
    <row r="49" spans="1:12" x14ac:dyDescent="0.25">
      <c r="A49" t="s">
        <v>2251</v>
      </c>
      <c r="B49" s="7" t="s">
        <v>626</v>
      </c>
      <c r="C49" s="22">
        <v>1007</v>
      </c>
      <c r="D49" s="22">
        <v>1109</v>
      </c>
      <c r="E49" s="22">
        <v>1362</v>
      </c>
      <c r="F49" s="22">
        <v>1200</v>
      </c>
      <c r="G49" s="22">
        <v>1731.87</v>
      </c>
      <c r="H49" s="24">
        <v>2000</v>
      </c>
      <c r="I49" s="21"/>
      <c r="J49" s="21">
        <v>2500</v>
      </c>
      <c r="K49" s="21">
        <v>0</v>
      </c>
      <c r="L49" s="22">
        <f t="shared" si="2"/>
        <v>2500</v>
      </c>
    </row>
    <row r="50" spans="1:12" x14ac:dyDescent="0.25">
      <c r="A50" t="s">
        <v>2252</v>
      </c>
      <c r="B50" s="7" t="s">
        <v>1246</v>
      </c>
      <c r="C50" s="22">
        <v>0</v>
      </c>
      <c r="D50" s="22">
        <v>0</v>
      </c>
      <c r="E50" s="22">
        <v>0</v>
      </c>
      <c r="F50" s="22">
        <v>0</v>
      </c>
      <c r="G50" s="22">
        <v>1033.58</v>
      </c>
      <c r="H50" s="24">
        <v>1034</v>
      </c>
      <c r="I50" s="21"/>
      <c r="J50" s="21">
        <v>1000</v>
      </c>
      <c r="K50" s="21">
        <v>0</v>
      </c>
      <c r="L50" s="22">
        <f t="shared" si="2"/>
        <v>1000</v>
      </c>
    </row>
    <row r="51" spans="1:12" x14ac:dyDescent="0.25">
      <c r="A51" t="s">
        <v>2253</v>
      </c>
      <c r="B51" s="7" t="s">
        <v>477</v>
      </c>
      <c r="C51" s="22">
        <v>0</v>
      </c>
      <c r="D51" s="22">
        <v>1987</v>
      </c>
      <c r="E51" s="22">
        <v>0</v>
      </c>
      <c r="F51" s="22">
        <v>2000</v>
      </c>
      <c r="G51" s="22">
        <v>0</v>
      </c>
      <c r="H51" s="24">
        <v>0</v>
      </c>
      <c r="I51" s="21"/>
      <c r="J51" s="21">
        <v>20000</v>
      </c>
      <c r="K51" s="21">
        <v>0</v>
      </c>
      <c r="L51" s="22">
        <f t="shared" si="2"/>
        <v>20000</v>
      </c>
    </row>
    <row r="52" spans="1:12" x14ac:dyDescent="0.25">
      <c r="C52" s="22"/>
      <c r="D52" s="22"/>
      <c r="E52" s="22"/>
      <c r="F52" s="22"/>
      <c r="G52" s="22"/>
      <c r="H52" s="21"/>
      <c r="I52" s="21"/>
      <c r="J52" s="21"/>
      <c r="K52" s="21"/>
      <c r="L52" s="22"/>
    </row>
    <row r="53" spans="1:12" x14ac:dyDescent="0.25">
      <c r="C53" s="22"/>
      <c r="D53" s="22"/>
      <c r="E53" s="22"/>
      <c r="F53" s="22"/>
      <c r="G53" s="22"/>
      <c r="H53" s="21"/>
      <c r="I53" s="21"/>
      <c r="J53" s="21"/>
      <c r="K53" s="21"/>
      <c r="L53" s="22"/>
    </row>
    <row r="54" spans="1:12" x14ac:dyDescent="0.25">
      <c r="A54" t="s">
        <v>109</v>
      </c>
      <c r="C54" s="22"/>
      <c r="D54" s="22"/>
      <c r="E54" s="22"/>
      <c r="F54" s="22"/>
      <c r="G54" s="22"/>
      <c r="H54" s="21"/>
      <c r="I54" s="21"/>
      <c r="J54" s="21"/>
      <c r="K54" s="21"/>
      <c r="L54" s="22"/>
    </row>
    <row r="55" spans="1:12" x14ac:dyDescent="0.25">
      <c r="B55" t="s">
        <v>478</v>
      </c>
      <c r="C55" s="20">
        <f t="shared" ref="C55:H55" si="3">SUM(C39:C51)</f>
        <v>104088</v>
      </c>
      <c r="D55" s="20">
        <f t="shared" si="3"/>
        <v>127415</v>
      </c>
      <c r="E55" s="20">
        <f t="shared" si="3"/>
        <v>119761</v>
      </c>
      <c r="F55" s="20">
        <f t="shared" si="3"/>
        <v>154667</v>
      </c>
      <c r="G55" s="20">
        <f t="shared" si="3"/>
        <v>841806.94</v>
      </c>
      <c r="H55" s="20">
        <f t="shared" si="3"/>
        <v>860208</v>
      </c>
      <c r="I55" s="20"/>
      <c r="J55" s="20">
        <f>SUM(J39:J51)</f>
        <v>320406.80900000001</v>
      </c>
      <c r="K55" s="20">
        <f>SUM(K39:K51)</f>
        <v>0</v>
      </c>
      <c r="L55" s="20">
        <f>SUM(L39:L51)</f>
        <v>320406.80900000001</v>
      </c>
    </row>
    <row r="56" spans="1:12" x14ac:dyDescent="0.25">
      <c r="C56" s="22"/>
      <c r="D56" s="22"/>
      <c r="E56" s="22"/>
      <c r="F56" s="22"/>
      <c r="G56" s="22"/>
      <c r="H56" s="21"/>
      <c r="I56" s="21"/>
      <c r="J56" s="21"/>
      <c r="K56" s="21"/>
      <c r="L56" s="22"/>
    </row>
    <row r="57" spans="1:12" x14ac:dyDescent="0.25">
      <c r="A57" t="s">
        <v>489</v>
      </c>
      <c r="C57" s="22"/>
      <c r="D57" s="22"/>
      <c r="E57" s="22"/>
      <c r="F57" s="22"/>
      <c r="G57" s="22"/>
      <c r="H57" s="21"/>
      <c r="I57" s="21"/>
      <c r="J57" s="21"/>
      <c r="K57" s="21"/>
      <c r="L57" s="22"/>
    </row>
    <row r="58" spans="1:12" x14ac:dyDescent="0.25">
      <c r="A58" t="s">
        <v>18</v>
      </c>
      <c r="C58" s="22"/>
      <c r="D58" s="22"/>
      <c r="E58" s="22"/>
      <c r="F58" s="22"/>
      <c r="G58" s="22"/>
      <c r="H58" s="21"/>
      <c r="I58" s="21"/>
      <c r="J58" s="21"/>
      <c r="K58" s="21"/>
      <c r="L58" s="22"/>
    </row>
    <row r="59" spans="1:12" x14ac:dyDescent="0.25">
      <c r="A59" t="s">
        <v>2254</v>
      </c>
      <c r="B59" s="7" t="s">
        <v>489</v>
      </c>
      <c r="C59" s="22">
        <v>6799</v>
      </c>
      <c r="D59" s="22">
        <v>3272</v>
      </c>
      <c r="E59" s="22">
        <v>5978</v>
      </c>
      <c r="F59" s="22">
        <v>5000</v>
      </c>
      <c r="G59" s="22">
        <v>17109.04</v>
      </c>
      <c r="H59" s="21">
        <v>17750</v>
      </c>
      <c r="I59" s="21"/>
      <c r="J59" s="21">
        <v>10000</v>
      </c>
      <c r="K59" s="21">
        <v>0</v>
      </c>
      <c r="L59" s="22">
        <f>SUM(J59+K59)</f>
        <v>10000</v>
      </c>
    </row>
    <row r="60" spans="1:12" x14ac:dyDescent="0.25">
      <c r="A60" t="s">
        <v>2255</v>
      </c>
      <c r="B60" s="7" t="s">
        <v>1252</v>
      </c>
      <c r="C60" s="22">
        <v>1205</v>
      </c>
      <c r="D60" s="22">
        <v>49</v>
      </c>
      <c r="E60" s="22">
        <v>1359</v>
      </c>
      <c r="F60" s="22">
        <v>1000</v>
      </c>
      <c r="G60" s="22">
        <v>4674.8</v>
      </c>
      <c r="H60" s="21">
        <v>4675</v>
      </c>
      <c r="I60" s="21"/>
      <c r="J60" s="21">
        <v>1500</v>
      </c>
      <c r="K60" s="21">
        <v>0</v>
      </c>
      <c r="L60" s="22">
        <f t="shared" ref="L60:L64" si="4">SUM(J60+K60)</f>
        <v>1500</v>
      </c>
    </row>
    <row r="61" spans="1:12" x14ac:dyDescent="0.25">
      <c r="A61" t="s">
        <v>2256</v>
      </c>
      <c r="B61" s="7" t="s">
        <v>496</v>
      </c>
      <c r="C61" s="22">
        <v>7110</v>
      </c>
      <c r="D61" s="22">
        <v>3864</v>
      </c>
      <c r="E61" s="22">
        <v>0</v>
      </c>
      <c r="F61" s="22">
        <v>6200</v>
      </c>
      <c r="G61" s="22">
        <v>1589.07</v>
      </c>
      <c r="H61" s="21">
        <v>2000</v>
      </c>
      <c r="I61" s="21"/>
      <c r="J61" s="21">
        <v>7000</v>
      </c>
      <c r="K61" s="21">
        <v>0</v>
      </c>
      <c r="L61" s="22">
        <f t="shared" si="4"/>
        <v>7000</v>
      </c>
    </row>
    <row r="62" spans="1:12" x14ac:dyDescent="0.25">
      <c r="A62" t="s">
        <v>2257</v>
      </c>
      <c r="B62" s="7" t="s">
        <v>1259</v>
      </c>
      <c r="C62" s="22">
        <v>52199</v>
      </c>
      <c r="D62" s="22">
        <v>36495</v>
      </c>
      <c r="E62" s="22">
        <v>30361</v>
      </c>
      <c r="F62" s="22">
        <v>45000</v>
      </c>
      <c r="G62" s="22">
        <v>54750</v>
      </c>
      <c r="H62" s="21">
        <v>54750</v>
      </c>
      <c r="I62" s="21"/>
      <c r="J62" s="21">
        <v>50000</v>
      </c>
      <c r="K62" s="21">
        <v>0</v>
      </c>
      <c r="L62" s="22">
        <f t="shared" si="4"/>
        <v>50000</v>
      </c>
    </row>
    <row r="63" spans="1:12" hidden="1" x14ac:dyDescent="0.25">
      <c r="A63" t="s">
        <v>2258</v>
      </c>
      <c r="B63" s="7" t="s">
        <v>498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1">
        <v>0</v>
      </c>
      <c r="I63" s="21"/>
      <c r="J63" s="21">
        <v>0</v>
      </c>
      <c r="K63" s="21">
        <v>0</v>
      </c>
      <c r="L63" s="22">
        <f t="shared" si="4"/>
        <v>0</v>
      </c>
    </row>
    <row r="64" spans="1:12" hidden="1" x14ac:dyDescent="0.25">
      <c r="A64" t="s">
        <v>2259</v>
      </c>
      <c r="B64" s="7" t="s">
        <v>500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1">
        <v>0</v>
      </c>
      <c r="I64" s="21"/>
      <c r="J64" s="21">
        <v>0</v>
      </c>
      <c r="K64" s="21">
        <v>0</v>
      </c>
      <c r="L64" s="22">
        <f t="shared" si="4"/>
        <v>0</v>
      </c>
    </row>
    <row r="65" spans="1:12" x14ac:dyDescent="0.25">
      <c r="C65" s="22"/>
      <c r="D65" s="22"/>
      <c r="E65" s="22"/>
      <c r="F65" s="22"/>
      <c r="G65" s="22"/>
      <c r="H65" s="21"/>
      <c r="I65" s="21"/>
      <c r="J65" s="21"/>
      <c r="K65" s="21"/>
      <c r="L65" s="22"/>
    </row>
    <row r="66" spans="1:12" x14ac:dyDescent="0.25">
      <c r="C66" s="22"/>
      <c r="D66" s="22"/>
      <c r="E66" s="22"/>
      <c r="F66" s="22"/>
      <c r="G66" s="22"/>
      <c r="H66" s="21"/>
      <c r="I66" s="21"/>
      <c r="J66" s="21"/>
      <c r="K66" s="21"/>
      <c r="L66" s="22"/>
    </row>
    <row r="67" spans="1:12" x14ac:dyDescent="0.25">
      <c r="A67" t="s">
        <v>109</v>
      </c>
      <c r="C67" s="22"/>
      <c r="D67" s="22"/>
      <c r="E67" s="22"/>
      <c r="F67" s="22"/>
      <c r="G67" s="22"/>
      <c r="H67" s="21"/>
      <c r="I67" s="21"/>
      <c r="J67" s="21"/>
      <c r="K67" s="21"/>
      <c r="L67" s="22"/>
    </row>
    <row r="68" spans="1:12" x14ac:dyDescent="0.25">
      <c r="B68" t="s">
        <v>489</v>
      </c>
      <c r="C68" s="20">
        <f t="shared" ref="C68:H68" si="5">SUM(C59:C64)</f>
        <v>67313</v>
      </c>
      <c r="D68" s="20">
        <f t="shared" si="5"/>
        <v>43680</v>
      </c>
      <c r="E68" s="20">
        <f t="shared" si="5"/>
        <v>37698</v>
      </c>
      <c r="F68" s="20">
        <f t="shared" si="5"/>
        <v>57200</v>
      </c>
      <c r="G68" s="20">
        <f t="shared" si="5"/>
        <v>78122.91</v>
      </c>
      <c r="H68" s="20">
        <f t="shared" si="5"/>
        <v>79175</v>
      </c>
      <c r="I68" s="20"/>
      <c r="J68" s="20">
        <f>SUM(J59:J64)</f>
        <v>68500</v>
      </c>
      <c r="K68" s="20">
        <f>SUM(K59:K64)</f>
        <v>0</v>
      </c>
      <c r="L68" s="20">
        <f>SUM(L59:L64)</f>
        <v>68500</v>
      </c>
    </row>
    <row r="69" spans="1:12" x14ac:dyDescent="0.25">
      <c r="C69" s="22"/>
      <c r="D69" s="22"/>
      <c r="E69" s="22"/>
      <c r="F69" s="22"/>
      <c r="G69" s="22"/>
      <c r="H69" s="21"/>
      <c r="I69" s="21"/>
      <c r="J69" s="21"/>
      <c r="K69" s="21"/>
      <c r="L69" s="22"/>
    </row>
    <row r="70" spans="1:12" x14ac:dyDescent="0.25">
      <c r="A70" t="s">
        <v>501</v>
      </c>
      <c r="C70" s="22"/>
      <c r="D70" s="22"/>
      <c r="E70" s="22"/>
      <c r="F70" s="22"/>
      <c r="G70" s="22"/>
      <c r="H70" s="21"/>
      <c r="I70" s="21"/>
      <c r="J70" s="21"/>
      <c r="K70" s="21"/>
      <c r="L70" s="22"/>
    </row>
    <row r="71" spans="1:12" x14ac:dyDescent="0.25">
      <c r="A71" t="s">
        <v>18</v>
      </c>
      <c r="C71" s="22"/>
      <c r="D71" s="22"/>
      <c r="E71" s="22"/>
      <c r="F71" s="22"/>
      <c r="G71" s="22"/>
      <c r="H71" s="21"/>
      <c r="I71" s="21"/>
      <c r="J71" s="21"/>
      <c r="K71" s="21"/>
      <c r="L71" s="22"/>
    </row>
    <row r="72" spans="1:12" x14ac:dyDescent="0.25">
      <c r="A72" t="s">
        <v>2260</v>
      </c>
      <c r="B72" s="7" t="s">
        <v>2261</v>
      </c>
      <c r="C72" s="22">
        <v>14838</v>
      </c>
      <c r="D72" s="22">
        <v>9015</v>
      </c>
      <c r="E72" s="22">
        <v>7493</v>
      </c>
      <c r="F72" s="22">
        <v>10000</v>
      </c>
      <c r="G72" s="22">
        <v>3301.31</v>
      </c>
      <c r="H72" s="21">
        <v>4000</v>
      </c>
      <c r="I72" s="21"/>
      <c r="J72" s="21">
        <v>12000</v>
      </c>
      <c r="K72" s="21">
        <v>0</v>
      </c>
      <c r="L72" s="22">
        <f>SUM(J72+K72)</f>
        <v>12000</v>
      </c>
    </row>
    <row r="73" spans="1:12" x14ac:dyDescent="0.25">
      <c r="A73" t="s">
        <v>2262</v>
      </c>
      <c r="B73" s="7" t="s">
        <v>509</v>
      </c>
      <c r="C73" s="22">
        <v>14677</v>
      </c>
      <c r="D73" s="22">
        <v>27676</v>
      </c>
      <c r="E73" s="22">
        <v>1875</v>
      </c>
      <c r="F73" s="22">
        <v>20000</v>
      </c>
      <c r="G73" s="22">
        <v>34754.639999999999</v>
      </c>
      <c r="H73" s="21">
        <v>36000</v>
      </c>
      <c r="I73" s="21"/>
      <c r="J73" s="21">
        <v>22500</v>
      </c>
      <c r="K73" s="21">
        <v>0</v>
      </c>
      <c r="L73" s="22">
        <f t="shared" ref="L73:L78" si="6">SUM(J73+K73)</f>
        <v>22500</v>
      </c>
    </row>
    <row r="74" spans="1:12" x14ac:dyDescent="0.25">
      <c r="A74" t="s">
        <v>2263</v>
      </c>
      <c r="B74" s="7" t="s">
        <v>2264</v>
      </c>
      <c r="C74" s="22">
        <v>0</v>
      </c>
      <c r="D74" s="22">
        <v>0</v>
      </c>
      <c r="E74" s="22">
        <v>87188</v>
      </c>
      <c r="F74" s="22">
        <v>175000</v>
      </c>
      <c r="G74" s="22">
        <v>151875</v>
      </c>
      <c r="H74" s="21">
        <v>175000</v>
      </c>
      <c r="I74" s="21"/>
      <c r="J74" s="21">
        <v>180000</v>
      </c>
      <c r="K74" s="21">
        <v>0</v>
      </c>
      <c r="L74" s="22">
        <f t="shared" si="6"/>
        <v>180000</v>
      </c>
    </row>
    <row r="75" spans="1:12" x14ac:dyDescent="0.25">
      <c r="A75" t="s">
        <v>2265</v>
      </c>
      <c r="B75" s="7" t="s">
        <v>1880</v>
      </c>
      <c r="C75" s="22">
        <v>101671</v>
      </c>
      <c r="D75" s="22">
        <v>98232</v>
      </c>
      <c r="E75" s="22">
        <v>57993</v>
      </c>
      <c r="F75" s="22">
        <v>82000</v>
      </c>
      <c r="G75" s="22">
        <v>39346.120000000003</v>
      </c>
      <c r="H75" s="21">
        <v>50000</v>
      </c>
      <c r="I75" s="21"/>
      <c r="J75" s="21">
        <v>100000</v>
      </c>
      <c r="K75" s="21">
        <v>0</v>
      </c>
      <c r="L75" s="22">
        <f t="shared" si="6"/>
        <v>100000</v>
      </c>
    </row>
    <row r="76" spans="1:12" x14ac:dyDescent="0.25">
      <c r="A76" t="s">
        <v>2266</v>
      </c>
      <c r="B76" s="7" t="s">
        <v>519</v>
      </c>
      <c r="C76" s="22">
        <v>0</v>
      </c>
      <c r="D76" s="22">
        <v>0</v>
      </c>
      <c r="E76" s="22">
        <v>0</v>
      </c>
      <c r="F76" s="22">
        <v>2500</v>
      </c>
      <c r="G76" s="22">
        <v>689.5</v>
      </c>
      <c r="H76" s="21">
        <v>690</v>
      </c>
      <c r="I76" s="21"/>
      <c r="J76" s="21">
        <v>0</v>
      </c>
      <c r="K76" s="21">
        <v>0</v>
      </c>
      <c r="L76" s="22">
        <f t="shared" si="6"/>
        <v>0</v>
      </c>
    </row>
    <row r="77" spans="1:12" x14ac:dyDescent="0.25">
      <c r="A77" t="s">
        <v>2267</v>
      </c>
      <c r="B77" s="7" t="s">
        <v>521</v>
      </c>
      <c r="C77" s="22">
        <v>0</v>
      </c>
      <c r="D77" s="22">
        <v>0</v>
      </c>
      <c r="E77" s="22">
        <v>85</v>
      </c>
      <c r="F77" s="22">
        <v>500</v>
      </c>
      <c r="G77" s="22">
        <v>0</v>
      </c>
      <c r="H77" s="21">
        <v>0</v>
      </c>
      <c r="I77" s="21"/>
      <c r="J77" s="21">
        <v>0</v>
      </c>
      <c r="K77" s="21">
        <v>0</v>
      </c>
      <c r="L77" s="22">
        <f t="shared" si="6"/>
        <v>0</v>
      </c>
    </row>
    <row r="78" spans="1:12" x14ac:dyDescent="0.25">
      <c r="A78" t="s">
        <v>2268</v>
      </c>
      <c r="B78" s="7" t="s">
        <v>1085</v>
      </c>
      <c r="C78" s="22">
        <v>1530</v>
      </c>
      <c r="D78" s="22">
        <v>0</v>
      </c>
      <c r="E78" s="22">
        <v>0</v>
      </c>
      <c r="F78" s="22">
        <v>2000</v>
      </c>
      <c r="G78" s="22">
        <v>0</v>
      </c>
      <c r="H78" s="21">
        <v>0</v>
      </c>
      <c r="I78" s="21"/>
      <c r="J78" s="21">
        <v>3000</v>
      </c>
      <c r="K78" s="21">
        <v>0</v>
      </c>
      <c r="L78" s="22">
        <f t="shared" si="6"/>
        <v>3000</v>
      </c>
    </row>
    <row r="79" spans="1:12" x14ac:dyDescent="0.25">
      <c r="C79" s="22"/>
      <c r="D79" s="22"/>
      <c r="E79" s="22"/>
      <c r="F79" s="22"/>
      <c r="G79" s="22"/>
      <c r="H79" s="21"/>
      <c r="I79" s="21"/>
      <c r="J79" s="21"/>
      <c r="K79" s="21"/>
      <c r="L79" s="22"/>
    </row>
    <row r="80" spans="1:12" x14ac:dyDescent="0.25">
      <c r="C80" s="22"/>
      <c r="D80" s="22"/>
      <c r="E80" s="22"/>
      <c r="F80" s="22"/>
      <c r="G80" s="22"/>
      <c r="H80" s="21"/>
      <c r="I80" s="21"/>
      <c r="J80" s="21"/>
      <c r="K80" s="21"/>
      <c r="L80" s="22"/>
    </row>
    <row r="81" spans="1:12" x14ac:dyDescent="0.25">
      <c r="A81" t="s">
        <v>109</v>
      </c>
      <c r="C81" s="22"/>
      <c r="D81" s="22"/>
      <c r="E81" s="22"/>
      <c r="F81" s="22"/>
      <c r="G81" s="22"/>
      <c r="H81" s="21"/>
      <c r="I81" s="21"/>
      <c r="J81" s="21"/>
      <c r="K81" s="21"/>
      <c r="L81" s="22"/>
    </row>
    <row r="82" spans="1:12" x14ac:dyDescent="0.25">
      <c r="B82" t="s">
        <v>501</v>
      </c>
      <c r="C82" s="20">
        <f t="shared" ref="C82:H82" si="7">SUM(C72:C78)</f>
        <v>132716</v>
      </c>
      <c r="D82" s="20">
        <f t="shared" si="7"/>
        <v>134923</v>
      </c>
      <c r="E82" s="20">
        <f t="shared" si="7"/>
        <v>154634</v>
      </c>
      <c r="F82" s="20">
        <f t="shared" si="7"/>
        <v>292000</v>
      </c>
      <c r="G82" s="20">
        <f t="shared" si="7"/>
        <v>229966.57</v>
      </c>
      <c r="H82" s="20">
        <f t="shared" si="7"/>
        <v>265690</v>
      </c>
      <c r="I82" s="20"/>
      <c r="J82" s="20">
        <f>SUM(J72:J78)</f>
        <v>317500</v>
      </c>
      <c r="K82" s="20">
        <f>SUM(K72:K78)</f>
        <v>0</v>
      </c>
      <c r="L82" s="20">
        <f>SUM(L72:L78)</f>
        <v>317500</v>
      </c>
    </row>
    <row r="83" spans="1:12" x14ac:dyDescent="0.25">
      <c r="C83" s="22"/>
      <c r="D83" s="22"/>
      <c r="E83" s="22"/>
      <c r="F83" s="22"/>
      <c r="G83" s="22"/>
      <c r="H83" s="21"/>
      <c r="I83" s="21"/>
      <c r="J83" s="21"/>
      <c r="K83" s="21"/>
      <c r="L83" s="22"/>
    </row>
    <row r="84" spans="1:12" x14ac:dyDescent="0.25">
      <c r="A84" t="s">
        <v>530</v>
      </c>
      <c r="C84" s="22"/>
      <c r="D84" s="22"/>
      <c r="E84" s="22"/>
      <c r="F84" s="22"/>
      <c r="G84" s="22"/>
      <c r="H84" s="21"/>
      <c r="I84" s="21"/>
      <c r="J84" s="21"/>
      <c r="K84" s="21"/>
      <c r="L84" s="22"/>
    </row>
    <row r="85" spans="1:12" x14ac:dyDescent="0.25">
      <c r="A85" t="s">
        <v>18</v>
      </c>
      <c r="B85" s="7" t="s">
        <v>526</v>
      </c>
      <c r="C85" s="22"/>
      <c r="D85" s="22"/>
      <c r="E85" s="22"/>
      <c r="F85" s="22"/>
      <c r="G85" s="22"/>
      <c r="H85" s="21"/>
      <c r="I85" s="21"/>
      <c r="J85" s="21"/>
      <c r="K85" s="21"/>
      <c r="L85" s="22"/>
    </row>
    <row r="86" spans="1:12" x14ac:dyDescent="0.25">
      <c r="A86" t="s">
        <v>2269</v>
      </c>
      <c r="B86" s="7" t="s">
        <v>530</v>
      </c>
      <c r="C86" s="22">
        <v>0</v>
      </c>
      <c r="D86" s="22">
        <v>0</v>
      </c>
      <c r="E86" s="22">
        <v>29566</v>
      </c>
      <c r="F86" s="22">
        <v>0</v>
      </c>
      <c r="G86" s="22">
        <v>11840</v>
      </c>
      <c r="H86" s="21">
        <v>11840</v>
      </c>
      <c r="I86" s="21"/>
      <c r="J86" s="21">
        <v>0</v>
      </c>
      <c r="K86" s="21">
        <v>0</v>
      </c>
      <c r="L86" s="22">
        <f>SUM(J86+K86)</f>
        <v>0</v>
      </c>
    </row>
    <row r="87" spans="1:12" x14ac:dyDescent="0.25">
      <c r="A87" t="s">
        <v>2270</v>
      </c>
      <c r="B87" s="7" t="s">
        <v>1885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1">
        <v>0</v>
      </c>
      <c r="I87" s="21"/>
      <c r="J87" s="21">
        <v>0</v>
      </c>
      <c r="K87" s="21">
        <v>0</v>
      </c>
      <c r="L87" s="22">
        <f t="shared" ref="L87:L90" si="8">SUM(J87+K87)</f>
        <v>0</v>
      </c>
    </row>
    <row r="88" spans="1:12" x14ac:dyDescent="0.25">
      <c r="A88" t="s">
        <v>2271</v>
      </c>
      <c r="B88" s="7" t="s">
        <v>1282</v>
      </c>
      <c r="C88" s="22">
        <v>0</v>
      </c>
      <c r="D88" s="22">
        <v>0</v>
      </c>
      <c r="E88" s="22">
        <v>34624</v>
      </c>
      <c r="F88" s="22">
        <v>30000</v>
      </c>
      <c r="G88" s="22">
        <v>0</v>
      </c>
      <c r="H88" s="21">
        <v>0</v>
      </c>
      <c r="I88" s="21"/>
      <c r="J88" s="21">
        <v>0</v>
      </c>
      <c r="K88" s="21">
        <v>0</v>
      </c>
      <c r="L88" s="22">
        <f t="shared" si="8"/>
        <v>0</v>
      </c>
    </row>
    <row r="89" spans="1:12" x14ac:dyDescent="0.25">
      <c r="A89" t="s">
        <v>2272</v>
      </c>
      <c r="B89" s="7" t="s">
        <v>534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1">
        <v>0</v>
      </c>
      <c r="I89" s="21"/>
      <c r="J89" s="21">
        <v>1500</v>
      </c>
      <c r="K89" s="21">
        <v>0</v>
      </c>
      <c r="L89" s="22">
        <f t="shared" si="8"/>
        <v>1500</v>
      </c>
    </row>
    <row r="90" spans="1:12" x14ac:dyDescent="0.25">
      <c r="A90" t="s">
        <v>2273</v>
      </c>
      <c r="B90" s="7" t="s">
        <v>2274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1">
        <v>0</v>
      </c>
      <c r="I90" s="21"/>
      <c r="J90" s="21">
        <v>0</v>
      </c>
      <c r="K90" s="21">
        <v>0</v>
      </c>
      <c r="L90" s="22">
        <f t="shared" si="8"/>
        <v>0</v>
      </c>
    </row>
    <row r="91" spans="1:12" x14ac:dyDescent="0.25">
      <c r="C91" s="22"/>
      <c r="D91" s="22"/>
      <c r="E91" s="22"/>
      <c r="F91" s="22"/>
      <c r="G91" s="22"/>
      <c r="H91" s="21"/>
      <c r="I91" s="21"/>
      <c r="J91" s="21"/>
      <c r="K91" s="21"/>
      <c r="L91" s="22"/>
    </row>
    <row r="92" spans="1:12" x14ac:dyDescent="0.25">
      <c r="C92" s="22"/>
      <c r="D92" s="22"/>
      <c r="E92" s="22"/>
      <c r="F92" s="22"/>
      <c r="G92" s="22"/>
      <c r="H92" s="21"/>
      <c r="I92" s="21"/>
      <c r="J92" s="21"/>
      <c r="K92" s="21"/>
      <c r="L92" s="22"/>
    </row>
    <row r="93" spans="1:12" x14ac:dyDescent="0.25">
      <c r="A93" t="s">
        <v>109</v>
      </c>
      <c r="C93" s="22"/>
      <c r="D93" s="22"/>
      <c r="E93" s="22"/>
      <c r="F93" s="22"/>
      <c r="G93" s="22"/>
      <c r="H93" s="21"/>
      <c r="I93" s="21"/>
      <c r="J93" s="21"/>
      <c r="K93" s="21"/>
      <c r="L93" s="22"/>
    </row>
    <row r="94" spans="1:12" x14ac:dyDescent="0.25">
      <c r="B94" t="s">
        <v>530</v>
      </c>
      <c r="C94" s="20">
        <f t="shared" ref="C94:H94" si="9">SUM(C86:C90)</f>
        <v>0</v>
      </c>
      <c r="D94" s="20">
        <f t="shared" si="9"/>
        <v>0</v>
      </c>
      <c r="E94" s="20">
        <f t="shared" si="9"/>
        <v>64190</v>
      </c>
      <c r="F94" s="20">
        <f t="shared" si="9"/>
        <v>30000</v>
      </c>
      <c r="G94" s="20">
        <f t="shared" si="9"/>
        <v>11840</v>
      </c>
      <c r="H94" s="20">
        <f t="shared" si="9"/>
        <v>11840</v>
      </c>
      <c r="I94" s="20"/>
      <c r="J94" s="20">
        <f>SUM(J86:J90)</f>
        <v>1500</v>
      </c>
      <c r="K94" s="20">
        <f>SUM(K86:K90)</f>
        <v>0</v>
      </c>
      <c r="L94" s="20">
        <f>SUM(L86:L90)</f>
        <v>1500</v>
      </c>
    </row>
    <row r="95" spans="1:12" x14ac:dyDescent="0.25">
      <c r="C95" s="22"/>
      <c r="D95" s="22"/>
      <c r="E95" s="22"/>
      <c r="F95" s="22"/>
      <c r="G95" s="22"/>
      <c r="H95" s="21"/>
      <c r="I95" s="21"/>
      <c r="J95" s="21"/>
      <c r="K95" s="21"/>
      <c r="L95" s="22"/>
    </row>
    <row r="96" spans="1:12" x14ac:dyDescent="0.25">
      <c r="C96" s="22"/>
      <c r="D96" s="22"/>
      <c r="E96" s="22"/>
      <c r="F96" s="22"/>
      <c r="G96" s="22"/>
      <c r="H96" s="21"/>
      <c r="I96" s="21"/>
      <c r="J96" s="21"/>
      <c r="K96" s="21"/>
      <c r="L96" s="22"/>
    </row>
    <row r="97" spans="1:12" x14ac:dyDescent="0.25">
      <c r="A97" t="s">
        <v>109</v>
      </c>
      <c r="C97" s="22"/>
      <c r="D97" s="22"/>
      <c r="E97" s="22"/>
      <c r="F97" s="22"/>
      <c r="G97" s="22"/>
      <c r="H97" s="21"/>
      <c r="I97" s="21"/>
      <c r="J97" s="21"/>
      <c r="K97" s="21"/>
      <c r="L97" s="22"/>
    </row>
    <row r="98" spans="1:12" x14ac:dyDescent="0.25">
      <c r="A98">
        <v>65</v>
      </c>
      <c r="B98" t="s">
        <v>3748</v>
      </c>
      <c r="C98" s="20">
        <f t="shared" ref="C98:H98" si="10">C35+C55+C68+C82+C94</f>
        <v>449355</v>
      </c>
      <c r="D98" s="20">
        <f t="shared" si="10"/>
        <v>363437</v>
      </c>
      <c r="E98" s="20">
        <f t="shared" si="10"/>
        <v>376516</v>
      </c>
      <c r="F98" s="20">
        <f t="shared" si="10"/>
        <v>738761</v>
      </c>
      <c r="G98" s="20">
        <f t="shared" si="10"/>
        <v>1211900.1199999999</v>
      </c>
      <c r="H98" s="20">
        <f t="shared" si="10"/>
        <v>1280094</v>
      </c>
      <c r="I98" s="20"/>
      <c r="J98" s="20">
        <f>J35+J55+J68+J82+J94</f>
        <v>793443.19200000004</v>
      </c>
      <c r="K98" s="20">
        <f>K35+K55+K68+K82+K94</f>
        <v>0</v>
      </c>
      <c r="L98" s="20">
        <f>L35+L55+L68+L82+L94</f>
        <v>793443.19200000004</v>
      </c>
    </row>
    <row r="99" spans="1:12" x14ac:dyDescent="0.25">
      <c r="C99" s="22"/>
      <c r="D99" s="22"/>
      <c r="E99" s="22"/>
      <c r="F99" s="22"/>
      <c r="G99" s="22"/>
      <c r="H99" s="21"/>
      <c r="I99" s="21"/>
      <c r="J99" s="21"/>
      <c r="K99" s="21"/>
      <c r="L99" s="22"/>
    </row>
  </sheetData>
  <sheetProtection algorithmName="SHA-512" hashValue="lsp/5Hdqp2PUAx3QNUygxEjdgEM0e9WCmEs4YohtYFirdzuD6fz3wsqcG1ycBbxCJk6udBtoq9ovXcS10STZCg==" saltValue="FZgvX4WJ9NYollgfsRrc5Q==" spinCount="100000" sheet="1" objects="1" scenarios="1" insertRows="0"/>
  <pageMargins left="0.25" right="0.25" top="0.75" bottom="0.75" header="0.3" footer="0.3"/>
  <pageSetup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6838-EBE1-4CBB-8C0D-CAFFE899020C}">
  <dimension ref="A1:K288"/>
  <sheetViews>
    <sheetView workbookViewId="0">
      <pane ySplit="7" topLeftCell="A8" activePane="bottomLeft" state="frozen"/>
      <selection pane="bottomLeft" activeCell="H64" sqref="H64"/>
    </sheetView>
  </sheetViews>
  <sheetFormatPr defaultColWidth="11.42578125" defaultRowHeight="15" x14ac:dyDescent="0.25"/>
  <cols>
    <col min="1" max="1" width="36.7109375" style="33" bestFit="1" customWidth="1"/>
    <col min="2" max="2" width="13" style="33" bestFit="1" customWidth="1"/>
    <col min="3" max="3" width="14.7109375" style="33" bestFit="1" customWidth="1"/>
    <col min="4" max="4" width="12.5703125" style="33" bestFit="1" customWidth="1"/>
    <col min="5" max="5" width="13.85546875" style="33" bestFit="1" customWidth="1"/>
    <col min="6" max="6" width="12.7109375" style="33" bestFit="1" customWidth="1"/>
    <col min="7" max="7" width="16.28515625" style="33" bestFit="1" customWidth="1"/>
    <col min="8" max="8" width="13.85546875" style="33" customWidth="1"/>
    <col min="9" max="9" width="12.7109375" style="48" bestFit="1" customWidth="1"/>
    <col min="10" max="10" width="14.42578125" style="48" bestFit="1" customWidth="1"/>
    <col min="11" max="11" width="13.85546875" style="33" bestFit="1" customWidth="1"/>
    <col min="12" max="16384" width="11.42578125" style="33"/>
  </cols>
  <sheetData>
    <row r="1" spans="1:11" x14ac:dyDescent="0.25">
      <c r="A1" s="32" t="s">
        <v>3409</v>
      </c>
      <c r="I1" s="34"/>
      <c r="J1" s="34"/>
    </row>
    <row r="2" spans="1:11" x14ac:dyDescent="0.25">
      <c r="A2" s="35"/>
      <c r="B2" s="36"/>
      <c r="E2" s="36"/>
      <c r="F2" s="36"/>
      <c r="I2" s="34"/>
      <c r="J2" s="34"/>
    </row>
    <row r="3" spans="1:11" x14ac:dyDescent="0.25">
      <c r="E3" s="37" t="s">
        <v>2</v>
      </c>
      <c r="F3" s="38" t="s">
        <v>3410</v>
      </c>
      <c r="G3" s="33" t="s">
        <v>4</v>
      </c>
      <c r="I3" s="37" t="s">
        <v>3411</v>
      </c>
      <c r="J3" s="38" t="s">
        <v>3412</v>
      </c>
      <c r="K3" s="39" t="s">
        <v>3413</v>
      </c>
    </row>
    <row r="4" spans="1:11" x14ac:dyDescent="0.25">
      <c r="B4" s="38" t="s">
        <v>7</v>
      </c>
      <c r="C4" s="38" t="s">
        <v>8</v>
      </c>
      <c r="D4" s="38" t="s">
        <v>9</v>
      </c>
      <c r="E4" s="38" t="s">
        <v>10</v>
      </c>
      <c r="F4" s="38" t="s">
        <v>11</v>
      </c>
      <c r="G4" s="38" t="s">
        <v>12</v>
      </c>
      <c r="H4" s="38"/>
      <c r="I4" s="38" t="s">
        <v>3414</v>
      </c>
      <c r="J4" s="38" t="s">
        <v>3415</v>
      </c>
      <c r="K4" s="38" t="s">
        <v>3416</v>
      </c>
    </row>
    <row r="5" spans="1:11" x14ac:dyDescent="0.25">
      <c r="B5" s="38" t="s">
        <v>15</v>
      </c>
      <c r="C5" s="38" t="s">
        <v>15</v>
      </c>
      <c r="D5" s="38" t="s">
        <v>15</v>
      </c>
      <c r="E5" s="38" t="s">
        <v>16</v>
      </c>
      <c r="F5" s="40">
        <v>45889</v>
      </c>
      <c r="G5" s="38" t="s">
        <v>17</v>
      </c>
      <c r="H5" s="38"/>
      <c r="I5" s="38" t="s">
        <v>13</v>
      </c>
      <c r="J5" s="38" t="s">
        <v>3417</v>
      </c>
      <c r="K5" s="38" t="s">
        <v>13</v>
      </c>
    </row>
    <row r="6" spans="1:11" x14ac:dyDescent="0.25">
      <c r="A6" t="s">
        <v>19</v>
      </c>
      <c r="B6" s="33" t="s">
        <v>20</v>
      </c>
      <c r="C6" s="33" t="s">
        <v>21</v>
      </c>
      <c r="D6" s="33" t="s">
        <v>22</v>
      </c>
      <c r="E6" s="33" t="s">
        <v>23</v>
      </c>
      <c r="F6" s="33" t="s">
        <v>24</v>
      </c>
      <c r="G6" s="33" t="s">
        <v>20</v>
      </c>
      <c r="I6" s="33" t="s">
        <v>24</v>
      </c>
      <c r="J6" s="33" t="s">
        <v>20</v>
      </c>
      <c r="K6" s="33" t="s">
        <v>20</v>
      </c>
    </row>
    <row r="7" spans="1:11" x14ac:dyDescent="0.25">
      <c r="A7" s="36"/>
      <c r="B7" s="41"/>
      <c r="C7" s="41"/>
      <c r="D7" s="41"/>
      <c r="E7" s="41"/>
      <c r="F7" s="41"/>
      <c r="G7" s="38"/>
      <c r="H7" s="41"/>
      <c r="I7" s="41"/>
      <c r="J7" s="41"/>
    </row>
    <row r="8" spans="1:11" x14ac:dyDescent="0.25">
      <c r="B8" s="41"/>
      <c r="C8" s="41"/>
      <c r="D8" s="41"/>
      <c r="E8" s="42"/>
      <c r="F8" s="41"/>
      <c r="G8" s="38"/>
      <c r="H8" s="41"/>
      <c r="I8" s="41"/>
      <c r="J8" s="41"/>
    </row>
    <row r="9" spans="1:11" x14ac:dyDescent="0.25">
      <c r="B9" s="41"/>
      <c r="C9" s="41"/>
      <c r="D9" s="41"/>
      <c r="E9" s="42"/>
      <c r="F9" s="41"/>
      <c r="G9" s="38"/>
      <c r="H9" s="41"/>
      <c r="I9" s="41"/>
      <c r="J9" s="41"/>
    </row>
    <row r="10" spans="1:11" x14ac:dyDescent="0.25">
      <c r="B10" s="43"/>
      <c r="C10" s="44"/>
      <c r="D10" s="45"/>
      <c r="E10" s="45"/>
      <c r="F10" s="45"/>
      <c r="G10" s="46"/>
      <c r="H10" s="45"/>
      <c r="I10" s="45"/>
      <c r="J10" s="45"/>
    </row>
    <row r="11" spans="1:11" x14ac:dyDescent="0.25">
      <c r="B11" s="47"/>
      <c r="E11" s="47"/>
      <c r="F11" s="47"/>
    </row>
    <row r="12" spans="1:11" x14ac:dyDescent="0.25">
      <c r="A12" s="49" t="s">
        <v>3418</v>
      </c>
      <c r="C12" s="50" t="s">
        <v>3419</v>
      </c>
      <c r="D12" s="50"/>
      <c r="H12" s="50"/>
    </row>
    <row r="13" spans="1:11" x14ac:dyDescent="0.25">
      <c r="A13" s="49"/>
      <c r="B13" s="51"/>
      <c r="C13" s="50"/>
      <c r="D13" s="50"/>
      <c r="E13" s="51"/>
      <c r="F13" s="51"/>
      <c r="H13" s="50"/>
    </row>
    <row r="14" spans="1:11" x14ac:dyDescent="0.25">
      <c r="A14" s="39" t="s">
        <v>3420</v>
      </c>
      <c r="B14" s="51">
        <v>5216638</v>
      </c>
      <c r="C14" s="51">
        <v>7013566</v>
      </c>
      <c r="D14" s="51">
        <v>9444859</v>
      </c>
      <c r="E14" s="51">
        <v>13185344</v>
      </c>
      <c r="F14" s="51">
        <v>0</v>
      </c>
      <c r="G14" s="51">
        <v>13185344</v>
      </c>
      <c r="H14" s="51"/>
      <c r="I14" s="51">
        <v>0</v>
      </c>
      <c r="J14" s="51">
        <v>0</v>
      </c>
      <c r="K14" s="52">
        <f>G56</f>
        <v>23328726.59</v>
      </c>
    </row>
    <row r="15" spans="1:11" x14ac:dyDescent="0.25">
      <c r="B15" s="53"/>
      <c r="E15" s="53"/>
      <c r="F15" s="53"/>
      <c r="G15" s="54"/>
    </row>
    <row r="16" spans="1:11" x14ac:dyDescent="0.25">
      <c r="A16" s="55" t="s">
        <v>3421</v>
      </c>
      <c r="B16" s="51">
        <f>('General Fund Revenue'!C238)-B18</f>
        <v>11074039</v>
      </c>
      <c r="C16" s="51">
        <f>('General Fund Revenue'!D238)-C18</f>
        <v>12480985</v>
      </c>
      <c r="D16" s="51">
        <f>('General Fund Revenue'!E238)-D18</f>
        <v>14476579</v>
      </c>
      <c r="E16" s="51">
        <f>('General Fund Revenue'!F238)-E18</f>
        <v>12079859</v>
      </c>
      <c r="F16" s="51">
        <f>('General Fund Revenue'!G238)-F18</f>
        <v>10479783.030000001</v>
      </c>
      <c r="G16" s="51">
        <f>('General Fund Revenue'!H238)-G18</f>
        <v>11542166</v>
      </c>
      <c r="H16" s="51"/>
      <c r="I16" s="51">
        <f>('General Fund Revenue'!J238)-I18</f>
        <v>11843495</v>
      </c>
      <c r="J16" s="51">
        <f>('General Fund Revenue'!K238)-J18</f>
        <v>0</v>
      </c>
      <c r="K16" s="51">
        <f>('General Fund Revenue'!L238)-K18</f>
        <v>11843495</v>
      </c>
    </row>
    <row r="17" spans="1:11" x14ac:dyDescent="0.25">
      <c r="B17" s="51"/>
      <c r="C17" s="51"/>
      <c r="D17" s="51"/>
      <c r="E17" s="51"/>
      <c r="F17" s="51"/>
      <c r="G17" s="51"/>
      <c r="H17" s="51"/>
    </row>
    <row r="18" spans="1:11" x14ac:dyDescent="0.25">
      <c r="A18" s="55" t="s">
        <v>3422</v>
      </c>
      <c r="B18" s="51">
        <f>'General Fund Revenue'!C45</f>
        <v>1600000</v>
      </c>
      <c r="C18" s="51">
        <f>'General Fund Revenue'!D45</f>
        <v>2059643</v>
      </c>
      <c r="D18" s="51">
        <f>'General Fund Revenue'!E45</f>
        <v>2059643</v>
      </c>
      <c r="E18" s="51">
        <f>'General Fund Revenue'!F45</f>
        <v>3643573</v>
      </c>
      <c r="F18" s="51">
        <f>'General Fund Revenue'!G45</f>
        <v>1544732.28</v>
      </c>
      <c r="G18" s="51">
        <f>'General Fund Revenue'!H45</f>
        <v>3643573</v>
      </c>
      <c r="H18" s="51"/>
      <c r="I18" s="51">
        <f>'General Fund Revenue'!J45</f>
        <v>3643573</v>
      </c>
      <c r="J18" s="51">
        <f>'General Fund Revenue'!K45</f>
        <v>0</v>
      </c>
      <c r="K18" s="51">
        <f>'General Fund Revenue'!L45</f>
        <v>3643573</v>
      </c>
    </row>
    <row r="19" spans="1:11" x14ac:dyDescent="0.25">
      <c r="B19" s="51"/>
      <c r="C19" s="51"/>
      <c r="D19" s="51"/>
      <c r="E19" s="51"/>
      <c r="F19" s="51"/>
      <c r="G19" s="51"/>
      <c r="H19" s="51"/>
    </row>
    <row r="20" spans="1:11" x14ac:dyDescent="0.25">
      <c r="A20" s="55" t="s">
        <v>3423</v>
      </c>
      <c r="B20" s="51"/>
      <c r="C20" s="51"/>
      <c r="D20" s="51"/>
      <c r="E20" s="51"/>
      <c r="F20" s="51"/>
      <c r="G20" s="51"/>
      <c r="H20" s="51"/>
    </row>
    <row r="21" spans="1:11" x14ac:dyDescent="0.25">
      <c r="B21" s="51"/>
      <c r="C21" s="51"/>
      <c r="D21" s="51"/>
      <c r="E21" s="51"/>
      <c r="F21" s="51"/>
      <c r="G21" s="51"/>
      <c r="H21" s="51"/>
    </row>
    <row r="22" spans="1:11" x14ac:dyDescent="0.25">
      <c r="A22" s="33" t="s">
        <v>3424</v>
      </c>
      <c r="B22" s="51">
        <f>Admin!C112</f>
        <v>292410</v>
      </c>
      <c r="C22" s="51">
        <f>Admin!D112</f>
        <v>495339</v>
      </c>
      <c r="D22" s="51">
        <f>Admin!E112</f>
        <v>410794</v>
      </c>
      <c r="E22" s="51">
        <f>(Admin!F112)-Admin!F40</f>
        <v>144067</v>
      </c>
      <c r="F22" s="51">
        <f>(Admin!G112)-Admin!G40</f>
        <v>89702.260000000009</v>
      </c>
      <c r="G22" s="51">
        <f>(Admin!H112)-Admin!H40</f>
        <v>0</v>
      </c>
      <c r="H22" s="51"/>
      <c r="I22" s="51">
        <f>(Admin!J112)-Admin!J40</f>
        <v>64600</v>
      </c>
      <c r="J22" s="51">
        <f>(Admin!K112)-Admin!K40</f>
        <v>0</v>
      </c>
      <c r="K22" s="51">
        <f>(Admin!L112)-Admin!L40</f>
        <v>64600</v>
      </c>
    </row>
    <row r="23" spans="1:11" x14ac:dyDescent="0.25">
      <c r="A23" s="33" t="s">
        <v>3425</v>
      </c>
      <c r="B23" s="51">
        <f>'Non Departmental'!C73</f>
        <v>148851</v>
      </c>
      <c r="C23" s="51">
        <f>'Non Departmental'!D73</f>
        <v>231610</v>
      </c>
      <c r="D23" s="51">
        <f>'Non Departmental'!E73</f>
        <v>367357</v>
      </c>
      <c r="E23" s="51">
        <f>'Non Departmental'!F73</f>
        <v>885796</v>
      </c>
      <c r="F23" s="51">
        <f>'Non Departmental'!G73</f>
        <v>301146.31</v>
      </c>
      <c r="G23" s="51">
        <f>'Non Departmental'!H73</f>
        <v>337986</v>
      </c>
      <c r="H23" s="51"/>
      <c r="I23" s="51">
        <f>'Non Departmental'!J73</f>
        <v>138250</v>
      </c>
      <c r="J23" s="51">
        <f>'Non Departmental'!K73</f>
        <v>40350</v>
      </c>
      <c r="K23" s="51">
        <f>'Non Departmental'!L73</f>
        <v>178600</v>
      </c>
    </row>
    <row r="24" spans="1:11" x14ac:dyDescent="0.25">
      <c r="A24" s="33" t="s">
        <v>3426</v>
      </c>
      <c r="B24" s="51">
        <f>'Development Service'!C116</f>
        <v>887058</v>
      </c>
      <c r="C24" s="51">
        <f>'Development Service'!D116</f>
        <v>1038672</v>
      </c>
      <c r="D24" s="51">
        <f>'Development Service'!E116</f>
        <v>1056120</v>
      </c>
      <c r="E24" s="51">
        <f>('Development Service'!F116)-'Development Service'!F44</f>
        <v>459839</v>
      </c>
      <c r="F24" s="51">
        <f>('Development Service'!G116)-'Development Service'!G44</f>
        <v>485384.10999999993</v>
      </c>
      <c r="G24" s="51">
        <f>('Development Service'!H116)-'Development Service'!H44</f>
        <v>539204.88000000012</v>
      </c>
      <c r="H24" s="51"/>
      <c r="I24" s="51">
        <f>('Development Service'!J116)-'Development Service'!J44</f>
        <v>248240.74300000002</v>
      </c>
      <c r="J24" s="51">
        <f>('Development Service'!K116)-'Development Service'!K44</f>
        <v>0</v>
      </c>
      <c r="K24" s="51">
        <f>('Development Service'!L116)-'Development Service'!L44</f>
        <v>248240.74300000002</v>
      </c>
    </row>
    <row r="25" spans="1:11" x14ac:dyDescent="0.25">
      <c r="A25" s="33" t="s">
        <v>3427</v>
      </c>
      <c r="B25" s="51">
        <f>Finance!C97</f>
        <v>297441</v>
      </c>
      <c r="C25" s="51">
        <f>Finance!D97</f>
        <v>412206</v>
      </c>
      <c r="D25" s="51">
        <f>Finance!E97</f>
        <v>693094</v>
      </c>
      <c r="E25" s="51">
        <f>(Finance!F97)-Finance!F40</f>
        <v>99415</v>
      </c>
      <c r="F25" s="51">
        <f>Finance!G97-Finance!G40</f>
        <v>76567.76999999996</v>
      </c>
      <c r="G25" s="51">
        <f>Finance!H97-Finance!H40</f>
        <v>128700</v>
      </c>
      <c r="H25" s="51"/>
      <c r="I25" s="51">
        <f>(Finance!J97)-Finance!J40</f>
        <v>113910.00000000006</v>
      </c>
      <c r="J25" s="51">
        <f>Finance!K97-Finance!K40</f>
        <v>0</v>
      </c>
      <c r="K25" s="51">
        <f>Finance!L97-Finance!L40</f>
        <v>113910</v>
      </c>
    </row>
    <row r="26" spans="1:11" x14ac:dyDescent="0.25">
      <c r="A26" s="33" t="s">
        <v>3428</v>
      </c>
      <c r="B26" s="51">
        <f>HR!C97</f>
        <v>154903</v>
      </c>
      <c r="C26" s="51">
        <f>HR!D97</f>
        <v>168185</v>
      </c>
      <c r="D26" s="51">
        <f>HR!E97</f>
        <v>172100</v>
      </c>
      <c r="E26" s="51">
        <f>(HR!F97)-HR!F33</f>
        <v>62800</v>
      </c>
      <c r="F26" s="51">
        <f>(HR!G97)-HR!G33</f>
        <v>25675.000000000015</v>
      </c>
      <c r="G26" s="51">
        <f>(HR!H97)-HR!H33</f>
        <v>44885.999999999985</v>
      </c>
      <c r="H26" s="51"/>
      <c r="I26" s="51">
        <f>(HR!J97)-HR!J33</f>
        <v>56250</v>
      </c>
      <c r="J26" s="51">
        <f>(HR!K97)-HR!K33</f>
        <v>0</v>
      </c>
      <c r="K26" s="51">
        <f>(HR!L97)-HR!L33</f>
        <v>56250</v>
      </c>
    </row>
    <row r="27" spans="1:11" x14ac:dyDescent="0.25">
      <c r="A27" s="33" t="s">
        <v>3429</v>
      </c>
      <c r="B27" s="51">
        <f>Court!C91</f>
        <v>174735</v>
      </c>
      <c r="C27" s="51">
        <f>Court!D91</f>
        <v>196093</v>
      </c>
      <c r="D27" s="51">
        <f>Court!E91</f>
        <v>185132</v>
      </c>
      <c r="E27" s="51">
        <f>(Court!F91)-Court!F32</f>
        <v>70700</v>
      </c>
      <c r="F27" s="51">
        <f>(Court!G91)-Court!G32</f>
        <v>21152.809999999998</v>
      </c>
      <c r="G27" s="51">
        <f>(Court!H91)-Court!H32</f>
        <v>54149</v>
      </c>
      <c r="H27" s="51"/>
      <c r="I27" s="51">
        <f>(Court!J91)-Court!J32</f>
        <v>70495</v>
      </c>
      <c r="J27" s="51">
        <f>(Court!K91)-Court!K32</f>
        <v>0</v>
      </c>
      <c r="K27" s="51">
        <f>(Court!L91)-Court!L32</f>
        <v>70495</v>
      </c>
    </row>
    <row r="28" spans="1:11" x14ac:dyDescent="0.25">
      <c r="A28" s="33" t="s">
        <v>3430</v>
      </c>
      <c r="B28" s="51">
        <f>'City Secretary'!C77</f>
        <v>121026</v>
      </c>
      <c r="C28" s="51">
        <f>'City Secretary'!D77</f>
        <v>118461</v>
      </c>
      <c r="D28" s="51">
        <f>'City Secretary'!E77</f>
        <v>154175</v>
      </c>
      <c r="E28" s="51">
        <f>('City Secretary'!F77)-'City Secretary'!F31</f>
        <v>43130</v>
      </c>
      <c r="F28" s="51">
        <f>('City Secretary'!G77)-'City Secretary'!G31</f>
        <v>98381.800000000017</v>
      </c>
      <c r="G28" s="51">
        <f>('City Secretary'!H77)-'City Secretary'!H31</f>
        <v>117135</v>
      </c>
      <c r="H28" s="51"/>
      <c r="I28" s="51">
        <f>('City Secretary'!J77)-'City Secretary'!J31</f>
        <v>58134.999999999985</v>
      </c>
      <c r="J28" s="51">
        <f>('City Secretary'!K77)-'City Secretary'!K31</f>
        <v>0</v>
      </c>
      <c r="K28" s="51">
        <f>('City Secretary'!L77)-'City Secretary'!L31</f>
        <v>58134.999999999985</v>
      </c>
    </row>
    <row r="29" spans="1:11" x14ac:dyDescent="0.25">
      <c r="A29" s="33" t="s">
        <v>3431</v>
      </c>
      <c r="B29" s="51">
        <f>'Economic Development'!C112</f>
        <v>285913</v>
      </c>
      <c r="C29" s="51">
        <f>'Economic Development'!D112</f>
        <v>256923</v>
      </c>
      <c r="D29" s="51">
        <f>'Economic Development'!E112</f>
        <v>254570</v>
      </c>
      <c r="E29" s="51">
        <f>('Economic Development'!F112)-'Economic Development'!F35</f>
        <v>67075</v>
      </c>
      <c r="F29" s="51">
        <f>('Economic Development'!G112)-'Economic Development'!G35</f>
        <v>42264.51999999999</v>
      </c>
      <c r="G29" s="51">
        <f>('Economic Development'!H112)-'Economic Development'!H35</f>
        <v>49554</v>
      </c>
      <c r="H29" s="51"/>
      <c r="I29" s="51">
        <f>('Economic Development'!J112)-'Economic Development'!J35</f>
        <v>69900</v>
      </c>
      <c r="J29" s="51">
        <f>('Economic Development'!K112)-'Economic Development'!K35</f>
        <v>5000</v>
      </c>
      <c r="K29" s="51">
        <f>('Economic Development'!L112)-'Economic Development'!L35</f>
        <v>74900</v>
      </c>
    </row>
    <row r="30" spans="1:11" x14ac:dyDescent="0.25">
      <c r="A30" s="33" t="s">
        <v>3432</v>
      </c>
      <c r="B30" s="51">
        <f>Legal!C95</f>
        <v>209267</v>
      </c>
      <c r="C30" s="51">
        <f>Legal!D95</f>
        <v>427268</v>
      </c>
      <c r="D30" s="51">
        <f>Legal!E95</f>
        <v>474430</v>
      </c>
      <c r="E30" s="51">
        <f>Legal!F95</f>
        <v>405000</v>
      </c>
      <c r="F30" s="51">
        <f>Legal!G95</f>
        <v>328524.51</v>
      </c>
      <c r="G30" s="51">
        <f>Legal!H95</f>
        <v>405000</v>
      </c>
      <c r="H30" s="51"/>
      <c r="I30" s="51">
        <f>Legal!J95</f>
        <v>450000</v>
      </c>
      <c r="J30" s="51">
        <f>Legal!K95</f>
        <v>0</v>
      </c>
      <c r="K30" s="51">
        <f>Legal!L95</f>
        <v>450000</v>
      </c>
    </row>
    <row r="31" spans="1:11" x14ac:dyDescent="0.25">
      <c r="A31" s="33" t="s">
        <v>3433</v>
      </c>
      <c r="B31" s="51">
        <f>'Police Department'!C170</f>
        <v>2206657</v>
      </c>
      <c r="C31" s="51">
        <f>'Police Department'!D170</f>
        <v>2833629</v>
      </c>
      <c r="D31" s="51">
        <f>'Police Department'!E170</f>
        <v>3028028</v>
      </c>
      <c r="E31" s="51">
        <f>('Police Department'!F170)-'Police Department'!F48</f>
        <v>893667</v>
      </c>
      <c r="F31" s="51">
        <f>('Police Department'!G170)-'Police Department'!G48</f>
        <v>423907.85999999987</v>
      </c>
      <c r="G31" s="51">
        <f>('Police Department'!H170)-'Police Department'!H48</f>
        <v>561957</v>
      </c>
      <c r="H31" s="51"/>
      <c r="I31" s="51">
        <f>('Police Department'!J170)-'Police Department'!J48</f>
        <v>780809.28000000026</v>
      </c>
      <c r="J31" s="51">
        <f>('Police Department'!K170)-'Police Department'!K48</f>
        <v>60000</v>
      </c>
      <c r="K31" s="51">
        <f>('Police Department'!L170)-'Police Department'!L48</f>
        <v>840809.28000000026</v>
      </c>
    </row>
    <row r="32" spans="1:11" x14ac:dyDescent="0.25">
      <c r="A32" s="33" t="s">
        <v>3434</v>
      </c>
      <c r="B32" s="51">
        <f>'Code Enforcement'!C99</f>
        <v>0</v>
      </c>
      <c r="C32" s="51">
        <f>'Code Enforcement'!D99</f>
        <v>0</v>
      </c>
      <c r="D32" s="51">
        <f>'Code Enforcement'!E99</f>
        <v>0</v>
      </c>
      <c r="E32" s="51">
        <f>('Code Enforcement'!F99)-'Code Enforcement'!F34</f>
        <v>67600</v>
      </c>
      <c r="F32" s="51">
        <f>('Code Enforcement'!G99)-'Code Enforcement'!G34</f>
        <v>57702.679999999978</v>
      </c>
      <c r="G32" s="51">
        <f>('Code Enforcement'!H99)-'Code Enforcement'!H34</f>
        <v>61500</v>
      </c>
      <c r="H32" s="51"/>
      <c r="I32" s="51">
        <f>('Code Enforcement'!J99)-'Code Enforcement'!J34</f>
        <v>63100</v>
      </c>
      <c r="J32" s="51">
        <f>('Code Enforcement'!K99)-'Code Enforcement'!K34</f>
        <v>5000</v>
      </c>
      <c r="K32" s="51">
        <f>('Code Enforcement'!L99)-'Code Enforcement'!L34</f>
        <v>68100</v>
      </c>
    </row>
    <row r="33" spans="1:11" x14ac:dyDescent="0.25">
      <c r="A33" s="33" t="s">
        <v>3435</v>
      </c>
      <c r="B33" s="51">
        <f>Dispatch!C94</f>
        <v>372680</v>
      </c>
      <c r="C33" s="51">
        <f>Dispatch!D94</f>
        <v>508121</v>
      </c>
      <c r="D33" s="51">
        <f>Dispatch!E94</f>
        <v>475522</v>
      </c>
      <c r="E33" s="51">
        <f>(Dispatch!F94)-Dispatch!F39</f>
        <v>59398</v>
      </c>
      <c r="F33" s="51">
        <f>(Dispatch!G94)-Dispatch!G39</f>
        <v>15346.179999999993</v>
      </c>
      <c r="G33" s="51">
        <f>(Dispatch!H94)-Dispatch!H39</f>
        <v>16123</v>
      </c>
      <c r="H33" s="51"/>
      <c r="I33" s="51">
        <f>(Dispatch!J94)-Dispatch!J39</f>
        <v>34100</v>
      </c>
      <c r="J33" s="51">
        <f>(Dispatch!K94)-Dispatch!K39</f>
        <v>3000</v>
      </c>
      <c r="K33" s="51">
        <f>(Dispatch!L94)-Dispatch!L39</f>
        <v>37100</v>
      </c>
    </row>
    <row r="34" spans="1:11" x14ac:dyDescent="0.25">
      <c r="A34" s="33" t="s">
        <v>3436</v>
      </c>
      <c r="B34" s="51">
        <f>Streets!C129</f>
        <v>3049647</v>
      </c>
      <c r="C34" s="51">
        <f>Streets!D129</f>
        <v>1790206</v>
      </c>
      <c r="D34" s="51">
        <f>Streets!E129</f>
        <v>2239703</v>
      </c>
      <c r="E34" s="51">
        <f>(Streets!F129)-Streets!F38</f>
        <v>456793</v>
      </c>
      <c r="F34" s="51">
        <f>(Streets!G129)-Streets!G38</f>
        <v>237570.99</v>
      </c>
      <c r="G34" s="51">
        <f>(Streets!H129)-Streets!H38</f>
        <v>302177</v>
      </c>
      <c r="H34" s="51"/>
      <c r="I34" s="51">
        <f>(Streets!J129)-Streets!J38</f>
        <v>406143.30000000005</v>
      </c>
      <c r="J34" s="51">
        <f>(Streets!K129)-Streets!K38</f>
        <v>2691</v>
      </c>
      <c r="K34" s="51">
        <f>(Streets!L129)-Streets!L38</f>
        <v>408834.30000000005</v>
      </c>
    </row>
    <row r="35" spans="1:11" x14ac:dyDescent="0.25">
      <c r="A35" s="33" t="s">
        <v>3437</v>
      </c>
      <c r="B35" s="51">
        <f>'Solid Waste'!C65</f>
        <v>993482</v>
      </c>
      <c r="C35" s="51">
        <f>'Solid Waste'!D65</f>
        <v>1202774</v>
      </c>
      <c r="D35" s="51">
        <f>'Solid Waste'!E65</f>
        <v>1134736</v>
      </c>
      <c r="E35" s="51">
        <f>'Solid Waste'!F65</f>
        <v>1333171</v>
      </c>
      <c r="F35" s="51">
        <f>'Solid Waste'!G65</f>
        <v>1138050.82</v>
      </c>
      <c r="G35" s="51">
        <f>'Solid Waste'!H65</f>
        <v>1239275</v>
      </c>
      <c r="H35" s="51"/>
      <c r="I35" s="51">
        <f>'Solid Waste'!J65</f>
        <v>1207780.8</v>
      </c>
      <c r="J35" s="51">
        <f>'Solid Waste'!K65</f>
        <v>57859</v>
      </c>
      <c r="K35" s="51">
        <f>'Solid Waste'!L65</f>
        <v>1265639.8</v>
      </c>
    </row>
    <row r="36" spans="1:11" x14ac:dyDescent="0.25">
      <c r="A36" s="33" t="s">
        <v>3438</v>
      </c>
      <c r="B36" s="51">
        <f>'Building Maintenance'!C49</f>
        <v>34506</v>
      </c>
      <c r="C36" s="51">
        <f>'Building Maintenance'!D49</f>
        <v>46070</v>
      </c>
      <c r="D36" s="51">
        <f>'Building Maintenance'!E49</f>
        <v>57456</v>
      </c>
      <c r="E36" s="51">
        <f>'Building Maintenance'!F49</f>
        <v>90950</v>
      </c>
      <c r="F36" s="51">
        <f>'Building Maintenance'!G49</f>
        <v>64714.880000000005</v>
      </c>
      <c r="G36" s="51">
        <f>'Building Maintenance'!H49</f>
        <v>74930</v>
      </c>
      <c r="H36" s="51"/>
      <c r="I36" s="51">
        <f>'Building Maintenance'!J49</f>
        <v>45130</v>
      </c>
      <c r="J36" s="51">
        <f>'Building Maintenance'!K49</f>
        <v>0</v>
      </c>
      <c r="K36" s="51">
        <f>'Building Maintenance'!L49</f>
        <v>45130</v>
      </c>
    </row>
    <row r="37" spans="1:11" x14ac:dyDescent="0.25">
      <c r="A37" s="33" t="s">
        <v>3439</v>
      </c>
      <c r="B37" s="51">
        <f>'Parks &amp; Rec'!C115</f>
        <v>374670</v>
      </c>
      <c r="C37" s="51">
        <f>'Parks &amp; Rec'!D115</f>
        <v>660780</v>
      </c>
      <c r="D37" s="51">
        <f>'Parks &amp; Rec'!E115</f>
        <v>396360</v>
      </c>
      <c r="E37" s="51">
        <f>('Parks &amp; Rec'!F115)-'Parks &amp; Rec'!F42</f>
        <v>775897</v>
      </c>
      <c r="F37" s="51">
        <f>('Parks &amp; Rec'!G115)-'Parks &amp; Rec'!G42</f>
        <v>576309.60000000009</v>
      </c>
      <c r="G37" s="51">
        <f>('Parks &amp; Rec'!H115)-'Parks &amp; Rec'!H42</f>
        <v>483961.61</v>
      </c>
      <c r="H37" s="51"/>
      <c r="I37" s="51">
        <f>('Parks &amp; Rec'!J115)-'Parks &amp; Rec'!J42</f>
        <v>567202.17099999997</v>
      </c>
      <c r="J37" s="51">
        <f>('Parks &amp; Rec'!K115)-'Parks &amp; Rec'!K42</f>
        <v>100000</v>
      </c>
      <c r="K37" s="51">
        <f>('Parks &amp; Rec'!L115)-'Parks &amp; Rec'!L42</f>
        <v>667202.17099999997</v>
      </c>
    </row>
    <row r="38" spans="1:11" x14ac:dyDescent="0.25">
      <c r="A38" s="33" t="s">
        <v>3440</v>
      </c>
      <c r="B38" s="51">
        <f>Aquatics!C73</f>
        <v>156283</v>
      </c>
      <c r="C38" s="51">
        <f>Aquatics!D73</f>
        <v>96685</v>
      </c>
      <c r="D38" s="51">
        <f>Aquatics!E73</f>
        <v>233767</v>
      </c>
      <c r="E38" s="51">
        <f>Aquatics!F73</f>
        <v>176742</v>
      </c>
      <c r="F38" s="51">
        <f>Aquatics!G73</f>
        <v>113246.23999999999</v>
      </c>
      <c r="G38" s="51">
        <f>Aquatics!H73</f>
        <v>135587.78</v>
      </c>
      <c r="H38" s="51"/>
      <c r="I38" s="51">
        <f>Aquatics!J73</f>
        <v>158370.95799999998</v>
      </c>
      <c r="J38" s="51">
        <f>Aquatics!K73</f>
        <v>16000</v>
      </c>
      <c r="K38" s="51">
        <f>Aquatics!L73</f>
        <v>174370.95799999998</v>
      </c>
    </row>
    <row r="39" spans="1:11" hidden="1" x14ac:dyDescent="0.25">
      <c r="A39" s="33" t="s">
        <v>3441</v>
      </c>
      <c r="B39" s="51"/>
      <c r="C39" s="51"/>
      <c r="D39" s="51"/>
      <c r="E39" s="51"/>
      <c r="F39" s="51"/>
      <c r="G39" s="56"/>
      <c r="H39" s="51"/>
      <c r="I39" s="51"/>
      <c r="J39" s="51"/>
    </row>
    <row r="40" spans="1:11" x14ac:dyDescent="0.25">
      <c r="A40" s="33" t="s">
        <v>3442</v>
      </c>
      <c r="B40" s="51">
        <f>Library!C96</f>
        <v>215209</v>
      </c>
      <c r="C40" s="51">
        <f>Library!D96</f>
        <v>271486</v>
      </c>
      <c r="D40" s="51">
        <f>Library!E96</f>
        <v>333800</v>
      </c>
      <c r="E40" s="51">
        <f>(Library!F96)-Library!F34</f>
        <v>78495</v>
      </c>
      <c r="F40" s="51">
        <f>(Library!G96)-Library!G34</f>
        <v>56543.98000000001</v>
      </c>
      <c r="G40" s="51">
        <f>(Library!H96)-Library!H34</f>
        <v>73385</v>
      </c>
      <c r="H40" s="51"/>
      <c r="I40" s="51">
        <f>(Library!J96)-Library!J34</f>
        <v>56609.700000000012</v>
      </c>
      <c r="J40" s="51">
        <f>(Library!K96)-Library!K34</f>
        <v>0</v>
      </c>
      <c r="K40" s="51">
        <f>(Library!L96)-Library!L34</f>
        <v>56609.700000000012</v>
      </c>
    </row>
    <row r="41" spans="1:11" x14ac:dyDescent="0.25">
      <c r="A41" s="33" t="s">
        <v>3443</v>
      </c>
      <c r="B41" s="51">
        <f>'City Council'!C47</f>
        <v>14265</v>
      </c>
      <c r="C41" s="51">
        <f>'City Council'!D47</f>
        <v>41139</v>
      </c>
      <c r="D41" s="51">
        <f>'City Council'!E47</f>
        <v>21267</v>
      </c>
      <c r="E41" s="51">
        <f>'City Council'!F47</f>
        <v>25500</v>
      </c>
      <c r="F41" s="51">
        <f>'City Council'!G47</f>
        <v>21590.81</v>
      </c>
      <c r="G41" s="51">
        <f>'City Council'!H47</f>
        <v>28500</v>
      </c>
      <c r="H41" s="51"/>
      <c r="I41" s="51">
        <f>'City Council'!J47</f>
        <v>28500</v>
      </c>
      <c r="J41" s="51">
        <f>'City Council'!K47</f>
        <v>0</v>
      </c>
      <c r="K41" s="51">
        <f>'City Council'!L47</f>
        <v>28500</v>
      </c>
    </row>
    <row r="42" spans="1:11" x14ac:dyDescent="0.25">
      <c r="A42" s="33" t="s">
        <v>3444</v>
      </c>
      <c r="B42" s="51">
        <f>'General Fund IT'!C90</f>
        <v>0</v>
      </c>
      <c r="C42" s="51">
        <f>'General Fund IT'!D90</f>
        <v>542462</v>
      </c>
      <c r="D42" s="51">
        <f>'General Fund IT'!E90</f>
        <v>501918</v>
      </c>
      <c r="E42" s="51">
        <f>('General Fund IT'!F90)-'General Fund IT'!F37</f>
        <v>530263</v>
      </c>
      <c r="F42" s="51">
        <f>('General Fund IT'!G90)-'General Fund IT'!G37</f>
        <v>348205.52999999991</v>
      </c>
      <c r="G42" s="51">
        <f>('General Fund IT'!H90)-'General Fund IT'!H37</f>
        <v>388345.14000000007</v>
      </c>
      <c r="H42" s="51"/>
      <c r="I42" s="51">
        <f>('General Fund IT'!J90)-'General Fund IT'!J37</f>
        <v>396228.554</v>
      </c>
      <c r="J42" s="51">
        <f>('General Fund IT'!K90)-'General Fund IT'!K37</f>
        <v>0</v>
      </c>
      <c r="K42" s="51">
        <f>('General Fund IT'!L90)-'General Fund IT'!L37</f>
        <v>396228.554</v>
      </c>
    </row>
    <row r="43" spans="1:11" x14ac:dyDescent="0.25">
      <c r="A43" s="33" t="s">
        <v>3445</v>
      </c>
      <c r="B43" s="51">
        <f>'General Fund Transfers'!C16</f>
        <v>0</v>
      </c>
      <c r="C43" s="51">
        <f>'General Fund Transfers'!D16</f>
        <v>0</v>
      </c>
      <c r="D43" s="51">
        <f>'General Fund Transfers'!E16</f>
        <v>0</v>
      </c>
      <c r="E43" s="51">
        <f>'General Fund Transfers'!F16</f>
        <v>92299</v>
      </c>
      <c r="F43" s="51">
        <f>'General Fund Transfers'!G16</f>
        <v>0</v>
      </c>
      <c r="G43" s="51">
        <f>'General Fund Transfers'!H16</f>
        <v>0</v>
      </c>
      <c r="H43" s="51"/>
      <c r="I43" s="51">
        <f>'General Fund Transfers'!J16</f>
        <v>100000</v>
      </c>
      <c r="J43" s="51">
        <f>'General Fund Transfers'!K16</f>
        <v>0</v>
      </c>
      <c r="K43" s="51">
        <f>'General Fund Transfers'!L16</f>
        <v>100000</v>
      </c>
    </row>
    <row r="44" spans="1:11" x14ac:dyDescent="0.25">
      <c r="A44" s="33" t="s">
        <v>3446</v>
      </c>
      <c r="B44" s="51">
        <f>'General Fund Transfers'!C15</f>
        <v>407000</v>
      </c>
      <c r="C44" s="51">
        <f>'General Fund Transfers'!D15</f>
        <v>0</v>
      </c>
      <c r="D44" s="51">
        <f>'General Fund Transfers'!E15</f>
        <v>0</v>
      </c>
      <c r="E44" s="51">
        <f>'General Fund Transfers'!F15</f>
        <v>0</v>
      </c>
      <c r="F44" s="51">
        <f>'General Fund Transfers'!G15</f>
        <v>0</v>
      </c>
      <c r="G44" s="51">
        <f>'General Fund Transfers'!H15</f>
        <v>0</v>
      </c>
      <c r="H44" s="51"/>
      <c r="I44" s="51">
        <f>'General Fund Transfers'!J15</f>
        <v>0</v>
      </c>
      <c r="J44" s="51">
        <f>'General Fund Transfers'!K15</f>
        <v>0</v>
      </c>
      <c r="K44" s="51">
        <f>'General Fund Transfers'!L15</f>
        <v>0</v>
      </c>
    </row>
    <row r="45" spans="1:11" x14ac:dyDescent="0.25">
      <c r="A45" s="33" t="s">
        <v>3447</v>
      </c>
      <c r="B45" s="51">
        <f>'Golf Course Revenue'!C26</f>
        <v>438694</v>
      </c>
      <c r="C45" s="51">
        <f>'Golf Course Revenue'!D26</f>
        <v>800000</v>
      </c>
      <c r="D45" s="51">
        <f>'Golf Course Revenue'!E26</f>
        <v>800000</v>
      </c>
      <c r="E45" s="51">
        <f>'Golf Course Revenue'!F26</f>
        <v>970519</v>
      </c>
      <c r="F45" s="51">
        <f>'Golf Course Revenue'!G26</f>
        <v>0</v>
      </c>
      <c r="G45" s="51">
        <f>'Golf Course Revenue'!H26</f>
        <v>0</v>
      </c>
      <c r="H45" s="51"/>
      <c r="I45" s="51">
        <f>'Golf Course Revenue'!J26</f>
        <v>250000</v>
      </c>
      <c r="J45" s="51">
        <f>'Golf Course Revenue'!K26</f>
        <v>0</v>
      </c>
      <c r="K45" s="51">
        <f>'Golf Course Revenue'!L26</f>
        <v>250000</v>
      </c>
    </row>
    <row r="46" spans="1:11" hidden="1" x14ac:dyDescent="0.25">
      <c r="A46" s="33" t="s">
        <v>3448</v>
      </c>
      <c r="B46" s="51"/>
      <c r="C46" s="51"/>
      <c r="D46" s="51"/>
      <c r="E46" s="51"/>
      <c r="F46" s="51"/>
      <c r="G46" s="51"/>
      <c r="H46" s="51"/>
      <c r="I46" s="51"/>
    </row>
    <row r="47" spans="1:11" x14ac:dyDescent="0.25">
      <c r="A47" s="33" t="s">
        <v>3449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/>
      <c r="I47" s="51">
        <v>0</v>
      </c>
      <c r="J47" s="51">
        <v>0</v>
      </c>
      <c r="K47" s="52">
        <f>I47+J47</f>
        <v>0</v>
      </c>
    </row>
    <row r="48" spans="1:11" x14ac:dyDescent="0.25">
      <c r="A48" s="33" t="s">
        <v>3450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6">
        <v>0</v>
      </c>
      <c r="H48" s="51"/>
      <c r="I48" s="51">
        <v>0</v>
      </c>
      <c r="J48" s="51">
        <v>0</v>
      </c>
      <c r="K48" s="52">
        <f>I48+J48</f>
        <v>0</v>
      </c>
    </row>
    <row r="49" spans="1:11" x14ac:dyDescent="0.25">
      <c r="B49" s="51"/>
      <c r="C49" s="51"/>
      <c r="D49" s="51"/>
      <c r="E49" s="51"/>
      <c r="F49" s="51"/>
      <c r="G49" s="51"/>
      <c r="H49" s="51"/>
    </row>
    <row r="50" spans="1:11" x14ac:dyDescent="0.25">
      <c r="A50" s="33" t="s">
        <v>3451</v>
      </c>
      <c r="B50" s="51">
        <f>SUM(B22:B48)</f>
        <v>10834697</v>
      </c>
      <c r="C50" s="51">
        <f t="shared" ref="C50:E50" si="0">SUM(C22:C48)</f>
        <v>12138109</v>
      </c>
      <c r="D50" s="51">
        <f t="shared" si="0"/>
        <v>12990329</v>
      </c>
      <c r="E50" s="51">
        <f t="shared" si="0"/>
        <v>7789116</v>
      </c>
      <c r="F50" s="51">
        <f>SUM(F22:F48)</f>
        <v>4521988.66</v>
      </c>
      <c r="G50" s="51">
        <f>SUM(G22:G48)</f>
        <v>5042356.41</v>
      </c>
      <c r="H50" s="51"/>
      <c r="I50" s="51">
        <f>SUM(I22:I48)</f>
        <v>5363755.5059999991</v>
      </c>
      <c r="J50" s="51">
        <f>SUM(J22:J48)</f>
        <v>289900</v>
      </c>
      <c r="K50" s="51">
        <f>SUM(K22:K48)</f>
        <v>5653655.5059999991</v>
      </c>
    </row>
    <row r="51" spans="1:11" x14ac:dyDescent="0.25">
      <c r="B51" s="51"/>
      <c r="C51" s="51"/>
      <c r="D51" s="51"/>
      <c r="E51" s="51"/>
      <c r="F51" s="51"/>
      <c r="G51" s="51"/>
      <c r="H51" s="51"/>
    </row>
    <row r="52" spans="1:11" x14ac:dyDescent="0.25">
      <c r="A52" s="33" t="s">
        <v>3452</v>
      </c>
      <c r="B52" s="51">
        <f>B16+B18-B50</f>
        <v>1839342</v>
      </c>
      <c r="C52" s="51">
        <f t="shared" ref="C52:G52" si="1">C16+C18-C50</f>
        <v>2402519</v>
      </c>
      <c r="D52" s="51">
        <f t="shared" si="1"/>
        <v>3545893</v>
      </c>
      <c r="E52" s="51">
        <f t="shared" si="1"/>
        <v>7934316</v>
      </c>
      <c r="F52" s="51">
        <f t="shared" si="1"/>
        <v>7502526.6500000004</v>
      </c>
      <c r="G52" s="51">
        <f t="shared" si="1"/>
        <v>10143382.59</v>
      </c>
      <c r="H52" s="51"/>
      <c r="I52" s="51">
        <f>I16+I18-I50</f>
        <v>10123312.494000001</v>
      </c>
      <c r="J52" s="51">
        <f>J16+J18-J50</f>
        <v>-289900</v>
      </c>
      <c r="K52" s="51">
        <f>K16+K18-K50</f>
        <v>9833412.4940000009</v>
      </c>
    </row>
    <row r="53" spans="1:11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4" spans="1:11" x14ac:dyDescent="0.25">
      <c r="A54" s="55" t="s">
        <v>3453</v>
      </c>
      <c r="B54" s="51">
        <v>-52436</v>
      </c>
      <c r="C54" s="51">
        <v>24114</v>
      </c>
      <c r="D54" s="51">
        <v>180409</v>
      </c>
      <c r="E54" s="51">
        <v>0</v>
      </c>
      <c r="F54" s="51">
        <v>0</v>
      </c>
      <c r="G54" s="51">
        <v>0</v>
      </c>
      <c r="H54" s="51"/>
      <c r="I54" s="51">
        <v>0</v>
      </c>
      <c r="J54" s="51">
        <v>0</v>
      </c>
      <c r="K54" s="51">
        <v>0</v>
      </c>
    </row>
    <row r="55" spans="1:11" x14ac:dyDescent="0.25">
      <c r="B55" s="51"/>
      <c r="C55" s="51"/>
      <c r="D55" s="51"/>
      <c r="E55" s="51"/>
      <c r="F55" s="51"/>
      <c r="G55" s="51"/>
      <c r="H55" s="51"/>
    </row>
    <row r="56" spans="1:11" x14ac:dyDescent="0.25">
      <c r="A56" s="33" t="s">
        <v>3454</v>
      </c>
      <c r="B56" s="51">
        <f>+B14+B16+B18-B50+B54</f>
        <v>7003544</v>
      </c>
      <c r="C56" s="51">
        <f t="shared" ref="C56:G56" si="2">+C14+C16+C18-C50+C54</f>
        <v>9440199</v>
      </c>
      <c r="D56" s="51">
        <f t="shared" si="2"/>
        <v>13171161</v>
      </c>
      <c r="E56" s="51">
        <f t="shared" si="2"/>
        <v>21119660</v>
      </c>
      <c r="F56" s="51">
        <f t="shared" si="2"/>
        <v>7502526.6500000004</v>
      </c>
      <c r="G56" s="51">
        <f t="shared" si="2"/>
        <v>23328726.59</v>
      </c>
      <c r="H56" s="51"/>
      <c r="I56" s="51">
        <f>+I14+I16+I18-I50+I54</f>
        <v>10123312.494000001</v>
      </c>
      <c r="J56" s="51">
        <f>+J14+J16+J18-J50+J54</f>
        <v>-289900</v>
      </c>
      <c r="K56" s="51">
        <f>+K14+K16+K18-K50+K54</f>
        <v>33162139.084000006</v>
      </c>
    </row>
    <row r="57" spans="1:11" x14ac:dyDescent="0.25">
      <c r="B57" s="51"/>
      <c r="C57" s="51"/>
      <c r="D57" s="51"/>
      <c r="E57" s="51"/>
      <c r="F57" s="51"/>
      <c r="G57" s="51"/>
      <c r="H57" s="51"/>
      <c r="I57" s="51"/>
      <c r="J57" s="51"/>
    </row>
    <row r="58" spans="1:11" x14ac:dyDescent="0.25">
      <c r="B58" s="51"/>
      <c r="C58" s="51"/>
      <c r="D58" s="51"/>
      <c r="E58" s="51"/>
      <c r="F58" s="51"/>
      <c r="G58" s="51"/>
      <c r="H58" s="51"/>
      <c r="I58" s="51"/>
      <c r="J58" s="51"/>
    </row>
    <row r="59" spans="1:11" x14ac:dyDescent="0.25">
      <c r="A59" s="49" t="s">
        <v>3455</v>
      </c>
      <c r="B59" s="51"/>
      <c r="C59" s="51"/>
      <c r="D59" s="51"/>
      <c r="E59" s="51"/>
      <c r="F59" s="51"/>
      <c r="G59" s="51"/>
      <c r="H59" s="51"/>
    </row>
    <row r="60" spans="1:11" x14ac:dyDescent="0.25">
      <c r="A60" s="49"/>
      <c r="B60" s="51"/>
      <c r="C60" s="51"/>
      <c r="D60" s="51"/>
      <c r="E60" s="51"/>
      <c r="F60" s="51"/>
      <c r="G60" s="51"/>
      <c r="H60" s="51"/>
    </row>
    <row r="61" spans="1:11" x14ac:dyDescent="0.25">
      <c r="A61" s="33" t="s">
        <v>3420</v>
      </c>
      <c r="B61" s="51">
        <v>1560463</v>
      </c>
      <c r="C61" s="51">
        <v>1490427</v>
      </c>
      <c r="D61" s="51">
        <v>1876942</v>
      </c>
      <c r="E61" s="51">
        <v>1853502</v>
      </c>
      <c r="F61" s="51">
        <v>0</v>
      </c>
      <c r="G61" s="51">
        <v>1853502</v>
      </c>
      <c r="H61" s="51"/>
      <c r="I61" s="51">
        <v>0</v>
      </c>
      <c r="J61" s="51">
        <v>0</v>
      </c>
      <c r="K61" s="51">
        <f>G71</f>
        <v>1831081</v>
      </c>
    </row>
    <row r="62" spans="1:11" x14ac:dyDescent="0.25">
      <c r="B62" s="51"/>
      <c r="C62" s="51"/>
      <c r="D62" s="51"/>
      <c r="E62" s="51"/>
      <c r="F62" s="51"/>
      <c r="G62" s="51"/>
      <c r="H62" s="51"/>
    </row>
    <row r="63" spans="1:11" x14ac:dyDescent="0.25">
      <c r="A63" s="33" t="s">
        <v>3421</v>
      </c>
      <c r="B63" s="51">
        <f>('Aviation Fund'!C34)-B64</f>
        <v>420123</v>
      </c>
      <c r="C63" s="51">
        <f>('Aviation Fund'!D34)-C64</f>
        <v>358297</v>
      </c>
      <c r="D63" s="51">
        <f>('Aviation Fund'!E34)-D64</f>
        <v>343484</v>
      </c>
      <c r="E63" s="51">
        <f>('Aviation Fund'!F34)-E64</f>
        <v>288055</v>
      </c>
      <c r="F63" s="51">
        <f>('Aviation Fund'!G34)-F64</f>
        <v>246484.65999999997</v>
      </c>
      <c r="G63" s="51">
        <f>('Aviation Fund'!H34)-G64</f>
        <v>313710</v>
      </c>
      <c r="H63" s="51"/>
      <c r="I63" s="51">
        <f>('Aviation Fund'!J34)-I64</f>
        <v>293800</v>
      </c>
      <c r="J63" s="51">
        <f>('Aviation Fund'!K34)-J64</f>
        <v>0</v>
      </c>
      <c r="K63" s="51">
        <f>('Aviation Fund'!L34)-K64</f>
        <v>293800</v>
      </c>
    </row>
    <row r="64" spans="1:11" x14ac:dyDescent="0.25">
      <c r="A64" s="33" t="s">
        <v>3456</v>
      </c>
      <c r="B64" s="51">
        <f>'Aviation Fund'!C28+'Aviation Fund'!C29</f>
        <v>0</v>
      </c>
      <c r="C64" s="51">
        <f>'Aviation Fund'!D28+'Aviation Fund'!D29</f>
        <v>357424</v>
      </c>
      <c r="D64" s="51">
        <f>'Aviation Fund'!E28+'Aviation Fund'!E29</f>
        <v>0</v>
      </c>
      <c r="E64" s="51">
        <f>'Aviation Fund'!F28+'Aviation Fund'!F29</f>
        <v>92299</v>
      </c>
      <c r="F64" s="51">
        <f>'Aviation Fund'!G28+'Aviation Fund'!G29</f>
        <v>0</v>
      </c>
      <c r="G64" s="51">
        <f>'Aviation Fund'!H28+'Aviation Fund'!H29</f>
        <v>0</v>
      </c>
      <c r="H64" s="51"/>
      <c r="I64" s="51">
        <f>'Aviation Fund'!J28+'Aviation Fund'!J29</f>
        <v>50000</v>
      </c>
      <c r="J64" s="51">
        <f>'Aviation Fund'!K28+'Aviation Fund'!K29</f>
        <v>0</v>
      </c>
      <c r="K64" s="51">
        <f>'Aviation Fund'!L28+'Aviation Fund'!L29</f>
        <v>50000</v>
      </c>
    </row>
    <row r="65" spans="1:11" x14ac:dyDescent="0.25">
      <c r="A65" s="33" t="s">
        <v>3457</v>
      </c>
      <c r="B65" s="51">
        <f>'Aviation Fund'!C138</f>
        <v>490805</v>
      </c>
      <c r="C65" s="51">
        <f>'Aviation Fund'!D138</f>
        <v>268959</v>
      </c>
      <c r="D65" s="51">
        <f>'Aviation Fund'!E138</f>
        <v>306113</v>
      </c>
      <c r="E65" s="51">
        <f>('Aviation Fund'!F138)-'Aviation Fund'!F71</f>
        <v>363471</v>
      </c>
      <c r="F65" s="51">
        <f>('Aviation Fund'!G138)-'Aviation Fund'!G71</f>
        <v>297543.45</v>
      </c>
      <c r="G65" s="51">
        <f>('Aviation Fund'!H138)-'Aviation Fund'!H71</f>
        <v>336131</v>
      </c>
      <c r="H65" s="51"/>
      <c r="I65" s="51">
        <f>('Aviation Fund'!J138)-'Aviation Fund'!J71</f>
        <v>306426.71000000002</v>
      </c>
      <c r="J65" s="51">
        <f>('Aviation Fund'!K138)-'Aviation Fund'!K71</f>
        <v>0</v>
      </c>
      <c r="K65" s="51">
        <f>('Aviation Fund'!L138)-'Aviation Fund'!L71</f>
        <v>306426.71000000002</v>
      </c>
    </row>
    <row r="66" spans="1:11" x14ac:dyDescent="0.25">
      <c r="B66" s="51"/>
      <c r="C66" s="51"/>
      <c r="D66" s="51"/>
      <c r="E66" s="51"/>
      <c r="F66" s="51"/>
      <c r="G66" s="51"/>
      <c r="H66" s="51"/>
    </row>
    <row r="67" spans="1:11" x14ac:dyDescent="0.25">
      <c r="A67" s="33" t="s">
        <v>3452</v>
      </c>
      <c r="B67" s="51">
        <f t="shared" ref="B67:G67" si="3">B63+B64-B65</f>
        <v>-70682</v>
      </c>
      <c r="C67" s="51">
        <f t="shared" si="3"/>
        <v>446762</v>
      </c>
      <c r="D67" s="51">
        <f t="shared" si="3"/>
        <v>37371</v>
      </c>
      <c r="E67" s="51">
        <f t="shared" si="3"/>
        <v>16883</v>
      </c>
      <c r="F67" s="51">
        <f t="shared" si="3"/>
        <v>-51058.790000000037</v>
      </c>
      <c r="G67" s="51">
        <f t="shared" si="3"/>
        <v>-22421</v>
      </c>
      <c r="H67" s="51"/>
      <c r="I67" s="51">
        <f>I63+I64-I65</f>
        <v>37373.289999999979</v>
      </c>
      <c r="J67" s="51">
        <f>J63+J64-J65</f>
        <v>0</v>
      </c>
      <c r="K67" s="51">
        <f>K63+K64-K65</f>
        <v>37373.289999999979</v>
      </c>
    </row>
    <row r="68" spans="1:11" x14ac:dyDescent="0.25">
      <c r="B68" s="51"/>
      <c r="C68" s="51"/>
      <c r="D68" s="51"/>
      <c r="E68" s="51"/>
      <c r="F68" s="51"/>
      <c r="G68" s="51"/>
      <c r="H68" s="51"/>
      <c r="I68" s="51"/>
      <c r="J68" s="51"/>
    </row>
    <row r="69" spans="1:11" x14ac:dyDescent="0.25">
      <c r="A69" s="55" t="s">
        <v>3453</v>
      </c>
      <c r="B69" s="51">
        <v>646</v>
      </c>
      <c r="C69" s="51">
        <v>-60247</v>
      </c>
      <c r="D69" s="51">
        <v>-60811</v>
      </c>
      <c r="E69" s="51">
        <v>0</v>
      </c>
      <c r="F69" s="51">
        <v>0</v>
      </c>
      <c r="G69" s="51">
        <v>0</v>
      </c>
      <c r="H69" s="51"/>
      <c r="I69" s="51">
        <v>0</v>
      </c>
      <c r="J69" s="51">
        <v>0</v>
      </c>
      <c r="K69" s="52">
        <f>I69+J69</f>
        <v>0</v>
      </c>
    </row>
    <row r="70" spans="1:11" x14ac:dyDescent="0.25">
      <c r="B70" s="51"/>
      <c r="C70" s="51"/>
      <c r="D70" s="51"/>
      <c r="E70" s="51"/>
      <c r="F70" s="51"/>
      <c r="G70" s="51"/>
      <c r="H70" s="51"/>
    </row>
    <row r="71" spans="1:11" x14ac:dyDescent="0.25">
      <c r="A71" s="33" t="s">
        <v>3454</v>
      </c>
      <c r="B71" s="51">
        <f t="shared" ref="B71:G71" si="4">+B61+B63+B64-B65+B69</f>
        <v>1490427</v>
      </c>
      <c r="C71" s="51">
        <f t="shared" si="4"/>
        <v>1876942</v>
      </c>
      <c r="D71" s="51">
        <f t="shared" si="4"/>
        <v>1853502</v>
      </c>
      <c r="E71" s="51">
        <f t="shared" si="4"/>
        <v>1870385</v>
      </c>
      <c r="F71" s="51">
        <f t="shared" si="4"/>
        <v>-51058.790000000037</v>
      </c>
      <c r="G71" s="51">
        <f t="shared" si="4"/>
        <v>1831081</v>
      </c>
      <c r="H71" s="51"/>
      <c r="I71" s="51">
        <f>+I61+I63+I64-I65+I69</f>
        <v>37373.289999999979</v>
      </c>
      <c r="J71" s="51">
        <f>+J61+J63+J64-J65+J69</f>
        <v>0</v>
      </c>
      <c r="K71" s="52">
        <f>I71+J71</f>
        <v>37373.289999999979</v>
      </c>
    </row>
    <row r="72" spans="1:11" x14ac:dyDescent="0.25">
      <c r="B72" s="51"/>
      <c r="C72" s="51"/>
      <c r="D72" s="51"/>
      <c r="E72" s="51"/>
      <c r="F72" s="51"/>
      <c r="G72" s="51"/>
      <c r="H72" s="51"/>
    </row>
    <row r="73" spans="1:11" x14ac:dyDescent="0.25">
      <c r="B73" s="51"/>
      <c r="C73" s="51"/>
      <c r="D73" s="51"/>
      <c r="E73" s="51"/>
      <c r="F73" s="51"/>
      <c r="G73" s="51"/>
      <c r="H73" s="51"/>
    </row>
    <row r="74" spans="1:11" x14ac:dyDescent="0.25">
      <c r="A74" s="49" t="s">
        <v>3458</v>
      </c>
      <c r="B74" s="51"/>
      <c r="C74" s="51"/>
      <c r="D74" s="51"/>
      <c r="E74" s="51"/>
      <c r="F74" s="51"/>
      <c r="G74" s="51"/>
      <c r="H74" s="51"/>
    </row>
    <row r="75" spans="1:11" x14ac:dyDescent="0.25">
      <c r="A75" s="49"/>
      <c r="B75" s="51"/>
      <c r="C75" s="51"/>
      <c r="D75" s="51"/>
      <c r="E75" s="51"/>
      <c r="F75" s="51"/>
      <c r="G75" s="51"/>
      <c r="H75" s="51"/>
    </row>
    <row r="76" spans="1:11" x14ac:dyDescent="0.25">
      <c r="A76" s="39" t="s">
        <v>3420</v>
      </c>
      <c r="B76" s="51">
        <v>2184533</v>
      </c>
      <c r="C76" s="51">
        <v>2338123</v>
      </c>
      <c r="D76" s="51">
        <v>2302162</v>
      </c>
      <c r="E76" s="51">
        <v>2473896</v>
      </c>
      <c r="F76" s="51">
        <v>0</v>
      </c>
      <c r="G76" s="48">
        <v>2473896</v>
      </c>
      <c r="H76" s="51"/>
      <c r="I76" s="51">
        <v>0</v>
      </c>
      <c r="J76" s="51">
        <v>0</v>
      </c>
      <c r="K76" s="52">
        <f>G99</f>
        <v>2907507</v>
      </c>
    </row>
    <row r="77" spans="1:11" x14ac:dyDescent="0.25">
      <c r="B77" s="51"/>
      <c r="C77" s="51"/>
      <c r="D77" s="51"/>
      <c r="E77" s="51"/>
      <c r="F77" s="51"/>
      <c r="G77" s="51"/>
      <c r="H77" s="51"/>
    </row>
    <row r="78" spans="1:11" x14ac:dyDescent="0.25">
      <c r="A78" s="55" t="s">
        <v>3421</v>
      </c>
      <c r="B78" s="51">
        <f>('Golf Course Revenue'!C32+'Golf Course Revenue'!C45)-B83</f>
        <v>765993</v>
      </c>
      <c r="C78" s="51">
        <f>('Golf Course Revenue'!D32+'Golf Course Revenue'!D45)-C83</f>
        <v>519485</v>
      </c>
      <c r="D78" s="51">
        <f>('Golf Course Revenue'!E32+'Golf Course Revenue'!E45)-D83</f>
        <v>687871</v>
      </c>
      <c r="E78" s="51">
        <f>('Golf Course Revenue'!F32+'Golf Course Revenue'!F45)-E83</f>
        <v>622700</v>
      </c>
      <c r="F78" s="51">
        <f>('Golf Course Revenue'!G32+'Golf Course Revenue'!G45)-F83</f>
        <v>744160.94000000006</v>
      </c>
      <c r="G78" s="51">
        <f>('Golf Course Revenue'!H32+'Golf Course Revenue'!H45)-G83</f>
        <v>889935</v>
      </c>
      <c r="H78" s="51"/>
      <c r="I78" s="51">
        <f>('Golf Course Revenue'!J32+'Golf Course Revenue'!J45)-I83</f>
        <v>935403</v>
      </c>
      <c r="J78" s="51">
        <f>('Golf Course Revenue'!K32+'Golf Course Revenue'!K45)-J83</f>
        <v>0</v>
      </c>
      <c r="K78" s="51">
        <f>('Golf Course Revenue'!L32+'Golf Course Revenue'!L45)-K83</f>
        <v>935403</v>
      </c>
    </row>
    <row r="79" spans="1:11" x14ac:dyDescent="0.25">
      <c r="A79" s="55"/>
      <c r="B79" s="51"/>
      <c r="C79" s="51"/>
      <c r="D79" s="51"/>
      <c r="E79" s="51"/>
      <c r="F79" s="51"/>
      <c r="G79" s="51"/>
      <c r="H79" s="51"/>
    </row>
    <row r="80" spans="1:11" x14ac:dyDescent="0.25">
      <c r="A80" s="33" t="s">
        <v>3459</v>
      </c>
      <c r="B80" s="51">
        <f t="shared" ref="B80:G80" si="5">B78</f>
        <v>765993</v>
      </c>
      <c r="C80" s="51">
        <f t="shared" si="5"/>
        <v>519485</v>
      </c>
      <c r="D80" s="51">
        <f t="shared" si="5"/>
        <v>687871</v>
      </c>
      <c r="E80" s="51">
        <f t="shared" si="5"/>
        <v>622700</v>
      </c>
      <c r="F80" s="51">
        <f t="shared" si="5"/>
        <v>744160.94000000006</v>
      </c>
      <c r="G80" s="51">
        <f t="shared" si="5"/>
        <v>889935</v>
      </c>
      <c r="H80" s="51"/>
      <c r="I80" s="51">
        <f>I78</f>
        <v>935403</v>
      </c>
      <c r="J80" s="51">
        <f>J78</f>
        <v>0</v>
      </c>
      <c r="K80" s="51">
        <f>K78</f>
        <v>935403</v>
      </c>
    </row>
    <row r="81" spans="1:11" x14ac:dyDescent="0.25">
      <c r="A81" s="33" t="s">
        <v>3460</v>
      </c>
      <c r="B81" s="51">
        <v>0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/>
      <c r="I81" s="51">
        <v>0</v>
      </c>
      <c r="J81" s="51">
        <v>0</v>
      </c>
      <c r="K81" s="51">
        <f>I81+J81</f>
        <v>0</v>
      </c>
    </row>
    <row r="82" spans="1:11" x14ac:dyDescent="0.25">
      <c r="A82" s="55"/>
      <c r="B82" s="51"/>
      <c r="C82" s="51"/>
      <c r="D82" s="51"/>
      <c r="E82" s="51"/>
      <c r="F82" s="51"/>
      <c r="G82" s="51"/>
      <c r="H82" s="51"/>
    </row>
    <row r="83" spans="1:11" x14ac:dyDescent="0.25">
      <c r="A83" s="55" t="s">
        <v>3461</v>
      </c>
      <c r="B83" s="51">
        <f>'Golf Course Revenue'!C26</f>
        <v>438694</v>
      </c>
      <c r="C83" s="51">
        <f>'Golf Course Revenue'!D26</f>
        <v>800000</v>
      </c>
      <c r="D83" s="51">
        <f>'Golf Course Revenue'!E26</f>
        <v>800000</v>
      </c>
      <c r="E83" s="51">
        <f>'Golf Course Revenue'!F26</f>
        <v>970519</v>
      </c>
      <c r="F83" s="51">
        <f>'Golf Course Revenue'!G26</f>
        <v>0</v>
      </c>
      <c r="G83" s="51">
        <f>'Golf Course Revenue'!H26</f>
        <v>0</v>
      </c>
      <c r="H83" s="51"/>
      <c r="I83" s="51">
        <f>'Golf Course Revenue'!J26</f>
        <v>250000</v>
      </c>
      <c r="J83" s="51">
        <f>'Golf Course Revenue'!K26</f>
        <v>0</v>
      </c>
      <c r="K83" s="51">
        <f>'Golf Course Revenue'!L26</f>
        <v>250000</v>
      </c>
    </row>
    <row r="84" spans="1:11" x14ac:dyDescent="0.25">
      <c r="B84" s="51"/>
      <c r="C84" s="51"/>
      <c r="D84" s="51"/>
      <c r="E84" s="51"/>
      <c r="F84" s="51"/>
      <c r="G84" s="51"/>
      <c r="H84" s="51"/>
    </row>
    <row r="85" spans="1:11" x14ac:dyDescent="0.25">
      <c r="A85" s="55" t="s">
        <v>3423</v>
      </c>
      <c r="B85" s="51"/>
      <c r="C85" s="51"/>
      <c r="D85" s="51"/>
      <c r="E85" s="51"/>
      <c r="F85" s="51"/>
      <c r="G85" s="51"/>
      <c r="H85" s="51"/>
    </row>
    <row r="86" spans="1:11" x14ac:dyDescent="0.25">
      <c r="B86" s="51"/>
      <c r="C86" s="51"/>
      <c r="D86" s="51"/>
      <c r="E86" s="51"/>
      <c r="F86" s="51"/>
      <c r="G86" s="51"/>
      <c r="H86" s="51"/>
    </row>
    <row r="87" spans="1:11" x14ac:dyDescent="0.25">
      <c r="A87" s="33" t="s">
        <v>3462</v>
      </c>
      <c r="B87" s="51">
        <f>'LVGC ProShop'!C117</f>
        <v>415917</v>
      </c>
      <c r="C87" s="51">
        <f>'LVGC ProShop'!D117</f>
        <v>451209</v>
      </c>
      <c r="D87" s="51">
        <f>'LVGC ProShop'!E117</f>
        <v>588166</v>
      </c>
      <c r="E87" s="51">
        <f>('LVGC ProShop'!F117)-'LVGC ProShop'!F43</f>
        <v>259058</v>
      </c>
      <c r="F87" s="51">
        <f>('LVGC ProShop'!G117)-'LVGC ProShop'!G43</f>
        <v>213109.88000000006</v>
      </c>
      <c r="G87" s="51">
        <f>('LVGC ProShop'!H117)-'LVGC ProShop'!H43</f>
        <v>238321</v>
      </c>
      <c r="H87" s="51"/>
      <c r="I87" s="51">
        <f>('LVGC ProShop'!J117)-'LVGC ProShop'!J43</f>
        <v>243882.68899999995</v>
      </c>
      <c r="J87" s="51">
        <f>('LVGC ProShop'!K117)-'LVGC ProShop'!K43</f>
        <v>0</v>
      </c>
      <c r="K87" s="51">
        <f>('LVGC ProShop'!L117)-'LVGC ProShop'!L43</f>
        <v>243882.68899999995</v>
      </c>
    </row>
    <row r="88" spans="1:11" x14ac:dyDescent="0.25">
      <c r="A88" s="33" t="s">
        <v>3463</v>
      </c>
      <c r="B88" s="51">
        <f>'LVGC Maintenance'!C108</f>
        <v>405573</v>
      </c>
      <c r="C88" s="51">
        <f>'LVGC Maintenance'!D108</f>
        <v>677356</v>
      </c>
      <c r="D88" s="51">
        <f>'LVGC Maintenance'!E108</f>
        <v>631330</v>
      </c>
      <c r="E88" s="51">
        <f>('LVGC Maintenance'!F108)-'LVGC Maintenance'!F37</f>
        <v>367137</v>
      </c>
      <c r="F88" s="51">
        <f>('LVGC Maintenance'!G108)-'LVGC Maintenance'!G37</f>
        <v>190172.86</v>
      </c>
      <c r="G88" s="51">
        <f>('LVGC Maintenance'!H108)-'LVGC Maintenance'!H37</f>
        <v>218003</v>
      </c>
      <c r="H88" s="51"/>
      <c r="I88" s="51">
        <f>('LVGC Maintenance'!J108)-'LVGC Maintenance'!J37</f>
        <v>224818.12099999993</v>
      </c>
      <c r="J88" s="51">
        <f>('LVGC Maintenance'!K108)-'LVGC Maintenance'!K37</f>
        <v>75000</v>
      </c>
      <c r="K88" s="51">
        <f>('LVGC Maintenance'!L108)-'LVGC Maintenance'!L37</f>
        <v>299818.12099999993</v>
      </c>
    </row>
    <row r="89" spans="1:11" x14ac:dyDescent="0.25">
      <c r="A89" s="33" t="s">
        <v>3464</v>
      </c>
      <c r="B89" s="57">
        <v>0</v>
      </c>
      <c r="C89" s="57">
        <v>0</v>
      </c>
      <c r="D89" s="57">
        <v>0</v>
      </c>
      <c r="E89" s="57">
        <v>0</v>
      </c>
      <c r="F89" s="57">
        <v>0</v>
      </c>
      <c r="G89" s="58">
        <v>0</v>
      </c>
      <c r="H89" s="51"/>
      <c r="I89" s="51">
        <v>0</v>
      </c>
      <c r="J89" s="51">
        <v>0</v>
      </c>
      <c r="K89" s="52">
        <f>I89+J89</f>
        <v>0</v>
      </c>
    </row>
    <row r="90" spans="1:11" x14ac:dyDescent="0.25">
      <c r="A90" s="33" t="s">
        <v>3465</v>
      </c>
      <c r="B90" s="51">
        <v>0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/>
      <c r="I90" s="51">
        <v>0</v>
      </c>
      <c r="J90" s="51">
        <v>0</v>
      </c>
      <c r="K90" s="52">
        <f>I90+J90</f>
        <v>0</v>
      </c>
    </row>
    <row r="91" spans="1:11" x14ac:dyDescent="0.25">
      <c r="A91" s="33" t="s">
        <v>3466</v>
      </c>
      <c r="B91" s="51">
        <v>0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/>
      <c r="I91" s="51">
        <v>0</v>
      </c>
      <c r="J91" s="51">
        <v>0</v>
      </c>
      <c r="K91" s="52">
        <f>I91+J91</f>
        <v>0</v>
      </c>
    </row>
    <row r="92" spans="1:11" x14ac:dyDescent="0.25">
      <c r="B92" s="51"/>
      <c r="C92" s="51"/>
      <c r="D92" s="51"/>
      <c r="E92" s="51"/>
      <c r="F92" s="51"/>
      <c r="G92" s="51"/>
      <c r="H92" s="51"/>
    </row>
    <row r="93" spans="1:11" x14ac:dyDescent="0.25">
      <c r="A93" s="33" t="s">
        <v>3467</v>
      </c>
      <c r="B93" s="51">
        <f t="shared" ref="B93:G93" si="6">SUM(B87:B92)</f>
        <v>821490</v>
      </c>
      <c r="C93" s="51">
        <f t="shared" si="6"/>
        <v>1128565</v>
      </c>
      <c r="D93" s="51">
        <f t="shared" si="6"/>
        <v>1219496</v>
      </c>
      <c r="E93" s="51">
        <f t="shared" si="6"/>
        <v>626195</v>
      </c>
      <c r="F93" s="51">
        <f t="shared" si="6"/>
        <v>403282.74000000005</v>
      </c>
      <c r="G93" s="51">
        <f t="shared" si="6"/>
        <v>456324</v>
      </c>
      <c r="H93" s="51"/>
      <c r="I93" s="51">
        <f>SUM(I87:I92)</f>
        <v>468700.80999999988</v>
      </c>
      <c r="J93" s="51">
        <f>SUM(J87:J92)</f>
        <v>75000</v>
      </c>
      <c r="K93" s="51">
        <f>SUM(K87:K92)</f>
        <v>543700.80999999982</v>
      </c>
    </row>
    <row r="94" spans="1:11" x14ac:dyDescent="0.25">
      <c r="B94" s="51"/>
      <c r="C94" s="51"/>
      <c r="D94" s="51"/>
      <c r="E94" s="51"/>
      <c r="F94" s="51"/>
      <c r="G94" s="51"/>
      <c r="H94" s="51"/>
    </row>
    <row r="95" spans="1:11" x14ac:dyDescent="0.25">
      <c r="A95" s="33" t="s">
        <v>3452</v>
      </c>
      <c r="B95" s="51">
        <f t="shared" ref="B95:G95" si="7">+B78+B83+B81-B93</f>
        <v>383197</v>
      </c>
      <c r="C95" s="51">
        <f t="shared" si="7"/>
        <v>190920</v>
      </c>
      <c r="D95" s="51">
        <f t="shared" si="7"/>
        <v>268375</v>
      </c>
      <c r="E95" s="51">
        <f t="shared" si="7"/>
        <v>967024</v>
      </c>
      <c r="F95" s="51">
        <f t="shared" si="7"/>
        <v>340878.2</v>
      </c>
      <c r="G95" s="51">
        <f t="shared" si="7"/>
        <v>433611</v>
      </c>
      <c r="H95" s="51"/>
      <c r="I95" s="51">
        <f>+I78+I83+I81-I93</f>
        <v>716702.19000000018</v>
      </c>
      <c r="J95" s="51">
        <f>+J78+J83+J81-J93</f>
        <v>-75000</v>
      </c>
      <c r="K95" s="51">
        <f>+K78+K83+K81-K93</f>
        <v>641702.19000000018</v>
      </c>
    </row>
    <row r="96" spans="1:11" x14ac:dyDescent="0.25">
      <c r="B96" s="51"/>
      <c r="C96" s="51"/>
      <c r="D96" s="51"/>
      <c r="E96" s="51"/>
      <c r="F96" s="51"/>
      <c r="G96" s="58"/>
      <c r="H96" s="51"/>
      <c r="I96" s="51"/>
      <c r="J96" s="51"/>
    </row>
    <row r="97" spans="1:11" x14ac:dyDescent="0.25">
      <c r="A97" s="55" t="s">
        <v>3453</v>
      </c>
      <c r="B97" s="51">
        <v>-229607</v>
      </c>
      <c r="C97" s="51">
        <v>-226881</v>
      </c>
      <c r="D97" s="51">
        <v>-96641</v>
      </c>
      <c r="E97" s="51">
        <v>0</v>
      </c>
      <c r="F97" s="51">
        <v>0</v>
      </c>
      <c r="G97" s="51"/>
      <c r="H97" s="51"/>
      <c r="I97" s="51">
        <v>0</v>
      </c>
      <c r="J97" s="51">
        <v>0</v>
      </c>
      <c r="K97" s="52">
        <f>I97+J97</f>
        <v>0</v>
      </c>
    </row>
    <row r="98" spans="1:11" x14ac:dyDescent="0.25">
      <c r="B98" s="51"/>
      <c r="C98" s="51"/>
      <c r="D98" s="51"/>
      <c r="E98" s="51"/>
      <c r="F98" s="51"/>
      <c r="G98" s="51"/>
      <c r="H98" s="51"/>
    </row>
    <row r="99" spans="1:11" x14ac:dyDescent="0.25">
      <c r="A99" s="33" t="s">
        <v>3454</v>
      </c>
      <c r="B99" s="51">
        <f t="shared" ref="B99:G99" si="8">+B76+B78-B93+B83+B97+B81</f>
        <v>2338123</v>
      </c>
      <c r="C99" s="51">
        <f t="shared" si="8"/>
        <v>2302162</v>
      </c>
      <c r="D99" s="51">
        <f t="shared" si="8"/>
        <v>2473896</v>
      </c>
      <c r="E99" s="51">
        <f t="shared" si="8"/>
        <v>3440920</v>
      </c>
      <c r="F99" s="51">
        <f t="shared" si="8"/>
        <v>340878.2</v>
      </c>
      <c r="G99" s="51">
        <f t="shared" si="8"/>
        <v>2907507</v>
      </c>
      <c r="H99" s="51"/>
      <c r="I99" s="51">
        <f>+I76+I78-I93+I83+I97+I81</f>
        <v>716702.19000000018</v>
      </c>
      <c r="J99" s="51">
        <f>+J76+J78-J93+J83+J97+J81</f>
        <v>-75000</v>
      </c>
      <c r="K99" s="51">
        <f>+K76+K78-K93+K83+K97+K81</f>
        <v>3549209.1900000004</v>
      </c>
    </row>
    <row r="100" spans="1:11" x14ac:dyDescent="0.25">
      <c r="B100" s="51"/>
      <c r="C100" s="51"/>
      <c r="D100" s="51"/>
      <c r="E100" s="51"/>
      <c r="F100" s="51"/>
      <c r="G100" s="51"/>
      <c r="H100" s="51"/>
    </row>
    <row r="101" spans="1:11" x14ac:dyDescent="0.25">
      <c r="B101" s="51"/>
      <c r="C101" s="51"/>
      <c r="D101" s="51"/>
      <c r="E101" s="51"/>
      <c r="F101" s="51"/>
      <c r="G101" s="51"/>
      <c r="H101" s="51"/>
    </row>
    <row r="102" spans="1:11" x14ac:dyDescent="0.25">
      <c r="A102" s="49" t="s">
        <v>3468</v>
      </c>
      <c r="B102" s="51"/>
      <c r="C102" s="51"/>
      <c r="D102" s="51"/>
      <c r="E102" s="51"/>
      <c r="F102" s="51"/>
      <c r="G102" s="51"/>
      <c r="H102" s="51"/>
    </row>
    <row r="103" spans="1:11" x14ac:dyDescent="0.25">
      <c r="A103" s="49"/>
      <c r="B103" s="51"/>
      <c r="C103" s="51"/>
      <c r="D103" s="51"/>
      <c r="E103" s="51"/>
      <c r="F103" s="51"/>
      <c r="G103" s="51"/>
      <c r="H103" s="51"/>
    </row>
    <row r="104" spans="1:11" x14ac:dyDescent="0.25">
      <c r="A104" s="39" t="s">
        <v>3420</v>
      </c>
      <c r="B104" s="51">
        <v>4979864</v>
      </c>
      <c r="C104" s="51">
        <v>13669661</v>
      </c>
      <c r="D104" s="51">
        <v>14520084</v>
      </c>
      <c r="E104" s="51">
        <v>15882057</v>
      </c>
      <c r="F104" s="51">
        <v>0</v>
      </c>
      <c r="G104" s="51">
        <v>15882057</v>
      </c>
      <c r="H104" s="51"/>
      <c r="I104" s="51">
        <v>0</v>
      </c>
      <c r="J104" s="51">
        <v>0</v>
      </c>
      <c r="K104" s="52">
        <f>G138</f>
        <v>12321769.57</v>
      </c>
    </row>
    <row r="105" spans="1:11" x14ac:dyDescent="0.25">
      <c r="A105" s="39"/>
      <c r="B105" s="48"/>
      <c r="C105" s="48"/>
      <c r="D105" s="48"/>
      <c r="E105" s="48"/>
      <c r="F105" s="48"/>
      <c r="G105" s="48"/>
      <c r="H105" s="48"/>
    </row>
    <row r="106" spans="1:11" x14ac:dyDescent="0.25">
      <c r="A106" s="55" t="s">
        <v>3421</v>
      </c>
      <c r="B106" s="51">
        <f>'Utility Fund Revenue'!C96</f>
        <v>12993216</v>
      </c>
      <c r="C106" s="51">
        <f>'Utility Fund Revenue'!D96</f>
        <v>10707689</v>
      </c>
      <c r="D106" s="51">
        <f>'Utility Fund Revenue'!E96</f>
        <v>10653770</v>
      </c>
      <c r="E106" s="51">
        <f>'Utility Fund Revenue'!F96</f>
        <v>12628624</v>
      </c>
      <c r="F106" s="51">
        <f>'Utility Fund Revenue'!G96</f>
        <v>8507540.0399999991</v>
      </c>
      <c r="G106" s="51">
        <f>'Utility Fund Revenue'!H96</f>
        <v>9912552</v>
      </c>
      <c r="H106" s="51"/>
      <c r="I106" s="51">
        <f>'Utility Fund Revenue'!J96</f>
        <v>15708925</v>
      </c>
      <c r="J106" s="51">
        <f>'Utility Fund Revenue'!K96</f>
        <v>0</v>
      </c>
      <c r="K106" s="51">
        <f>'Utility Fund Revenue'!L96</f>
        <v>15708925</v>
      </c>
    </row>
    <row r="107" spans="1:11" x14ac:dyDescent="0.25">
      <c r="A107" s="39"/>
      <c r="B107" s="51"/>
      <c r="C107" s="51"/>
      <c r="D107" s="51"/>
      <c r="E107" s="51"/>
      <c r="F107" s="51"/>
      <c r="G107" s="58"/>
      <c r="H107" s="51"/>
    </row>
    <row r="108" spans="1:11" x14ac:dyDescent="0.25">
      <c r="A108" s="55" t="s">
        <v>3423</v>
      </c>
      <c r="B108" s="51"/>
      <c r="C108" s="51"/>
      <c r="D108" s="51"/>
      <c r="E108" s="51"/>
      <c r="F108" s="51"/>
      <c r="G108" s="51"/>
      <c r="H108" s="51"/>
    </row>
    <row r="109" spans="1:11" x14ac:dyDescent="0.25">
      <c r="B109" s="51"/>
      <c r="C109" s="51"/>
      <c r="D109" s="51"/>
      <c r="E109" s="51"/>
      <c r="F109" s="51"/>
      <c r="G109" s="51"/>
      <c r="H109" s="51"/>
    </row>
    <row r="110" spans="1:11" x14ac:dyDescent="0.25">
      <c r="A110" s="33" t="s">
        <v>3469</v>
      </c>
      <c r="B110" s="51">
        <f>'Utility Admin'!C104</f>
        <v>227773</v>
      </c>
      <c r="C110" s="51">
        <f>'Utility Admin'!D104</f>
        <v>510380</v>
      </c>
      <c r="D110" s="51">
        <f>'Utility Admin'!E104</f>
        <v>384445</v>
      </c>
      <c r="E110" s="51">
        <f>('Utility Admin'!F104)-'Utility Admin'!F37</f>
        <v>271560</v>
      </c>
      <c r="F110" s="51">
        <f>('Utility Admin'!G104)-'Utility Admin'!G37</f>
        <v>158028.45000000001</v>
      </c>
      <c r="G110" s="51">
        <f>('Utility Admin'!H104)-'Utility Admin'!H37</f>
        <v>256890</v>
      </c>
      <c r="H110" s="51"/>
      <c r="I110" s="51">
        <f>('Utility Admin'!J104)-'Utility Admin'!J37</f>
        <v>278200</v>
      </c>
      <c r="J110" s="51">
        <f>'Utility Admin'!K104</f>
        <v>0</v>
      </c>
      <c r="K110" s="51">
        <f>('Utility Admin'!L104)-'Utility Admin'!L37</f>
        <v>278200</v>
      </c>
    </row>
    <row r="111" spans="1:11" x14ac:dyDescent="0.25">
      <c r="A111" s="33" t="s">
        <v>3470</v>
      </c>
      <c r="B111" s="51">
        <f>'General Fund Transfer'!C12</f>
        <v>1600000</v>
      </c>
      <c r="C111" s="51">
        <f>'General Fund Transfer'!D12</f>
        <v>2059643</v>
      </c>
      <c r="D111" s="51">
        <f>'General Fund Transfer'!E12</f>
        <v>2059643</v>
      </c>
      <c r="E111" s="51">
        <f>'General Fund Transfer'!F12</f>
        <v>3643573</v>
      </c>
      <c r="F111" s="51">
        <f>'General Fund Transfer'!G12</f>
        <v>1544732.28</v>
      </c>
      <c r="G111" s="51">
        <f>'General Fund Transfer'!H12</f>
        <v>3643573</v>
      </c>
      <c r="H111" s="51"/>
      <c r="I111" s="51">
        <f>'General Fund Transfer'!J12</f>
        <v>3643573</v>
      </c>
      <c r="J111" s="51">
        <f>'General Fund Transfer'!K12</f>
        <v>0</v>
      </c>
      <c r="K111" s="51">
        <f>'General Fund Transfer'!L12</f>
        <v>3643573</v>
      </c>
    </row>
    <row r="112" spans="1:11" x14ac:dyDescent="0.25">
      <c r="A112" s="33" t="s">
        <v>3471</v>
      </c>
      <c r="B112" s="51">
        <v>0</v>
      </c>
      <c r="C112" s="51">
        <v>0</v>
      </c>
      <c r="D112" s="51">
        <v>0</v>
      </c>
      <c r="E112" s="51">
        <v>0</v>
      </c>
      <c r="F112" s="51">
        <v>0</v>
      </c>
      <c r="G112" s="56">
        <v>0</v>
      </c>
      <c r="H112" s="51"/>
      <c r="I112" s="51">
        <v>0</v>
      </c>
      <c r="J112" s="51">
        <v>0</v>
      </c>
      <c r="K112" s="52">
        <f>I112+J112</f>
        <v>0</v>
      </c>
    </row>
    <row r="113" spans="1:11" x14ac:dyDescent="0.25">
      <c r="A113" s="33" t="s">
        <v>3472</v>
      </c>
      <c r="B113" s="51">
        <f>'Utility Fund IT'!C89</f>
        <v>498181</v>
      </c>
      <c r="C113" s="51">
        <f>'Utility Fund IT'!D89</f>
        <v>48119</v>
      </c>
      <c r="D113" s="51">
        <f>'Utility Fund IT'!E89</f>
        <v>39341</v>
      </c>
      <c r="E113" s="51">
        <f>'Utility Fund IT'!F89</f>
        <v>83883</v>
      </c>
      <c r="F113" s="51">
        <f>'Utility Fund IT'!G89</f>
        <v>53134.479999999996</v>
      </c>
      <c r="G113" s="51">
        <f>'Utility Fund IT'!H89</f>
        <v>61248.05</v>
      </c>
      <c r="H113" s="51"/>
      <c r="I113" s="51">
        <f>'Utility Fund IT'!J89</f>
        <v>65292.854999999996</v>
      </c>
      <c r="J113" s="51">
        <f>'Utility Fund IT'!K89</f>
        <v>0</v>
      </c>
      <c r="K113" s="51">
        <f>'Utility Fund IT'!L89</f>
        <v>65292.854999999996</v>
      </c>
    </row>
    <row r="114" spans="1:11" x14ac:dyDescent="0.25">
      <c r="A114" s="33" t="s">
        <v>3473</v>
      </c>
      <c r="B114" s="51">
        <f>'Public Works Admin'!C104</f>
        <v>419313</v>
      </c>
      <c r="C114" s="51">
        <f>'Public Works Admin'!D104</f>
        <v>345251</v>
      </c>
      <c r="D114" s="51">
        <f>'Public Works Admin'!E104</f>
        <v>951780</v>
      </c>
      <c r="E114" s="51">
        <f>('Public Works Admin'!F104)-'Public Works Admin'!F39</f>
        <v>752874</v>
      </c>
      <c r="F114" s="51">
        <f>('Public Works Admin'!G104)-'Public Works Admin'!G39</f>
        <v>469214.99</v>
      </c>
      <c r="G114" s="51">
        <f>('Public Works Admin'!H104)-'Public Works Admin'!H39</f>
        <v>486364.03</v>
      </c>
      <c r="H114" s="51"/>
      <c r="I114" s="51">
        <f>('Public Works Admin'!J104)-'Public Works Admin'!J39</f>
        <v>392457.83299999998</v>
      </c>
      <c r="J114" s="51">
        <f>('Public Works Admin'!K104)-'Public Works Admin'!K39</f>
        <v>0</v>
      </c>
      <c r="K114" s="51">
        <f>('Public Works Admin'!L104)-'Public Works Admin'!L39</f>
        <v>392457.83299999998</v>
      </c>
    </row>
    <row r="115" spans="1:11" x14ac:dyDescent="0.25">
      <c r="A115" s="33" t="s">
        <v>3474</v>
      </c>
      <c r="B115" s="51">
        <f>'Water Services'!C114</f>
        <v>1892876</v>
      </c>
      <c r="C115" s="51">
        <f>'Water Services'!D114</f>
        <v>1303099</v>
      </c>
      <c r="D115" s="51">
        <f>'Water Services'!E114</f>
        <v>1876300</v>
      </c>
      <c r="E115" s="51">
        <f>('Water Services'!F114)-'Water Services'!F37</f>
        <v>1029033</v>
      </c>
      <c r="F115" s="51">
        <f>('Water Services'!G114)-'Water Services'!G37</f>
        <v>583984.01000000013</v>
      </c>
      <c r="G115" s="51">
        <f>('Water Services'!H114)-'Water Services'!H37</f>
        <v>641459</v>
      </c>
      <c r="H115" s="51"/>
      <c r="I115" s="51">
        <f>('Water Services'!J114)-'Water Services'!J37</f>
        <v>669522.90700000001</v>
      </c>
      <c r="J115" s="51">
        <f>('Water Services'!K114)-'Water Services'!K37</f>
        <v>43900</v>
      </c>
      <c r="K115" s="51">
        <f>('Water Services'!L114)-'Water Services'!L37</f>
        <v>713422.90700000001</v>
      </c>
    </row>
    <row r="116" spans="1:11" x14ac:dyDescent="0.25">
      <c r="A116" s="33" t="s">
        <v>3475</v>
      </c>
      <c r="B116" s="51">
        <f>'Water Plant 1'!C98</f>
        <v>449355</v>
      </c>
      <c r="C116" s="51">
        <f>'Water Plant 1'!D98</f>
        <v>363437</v>
      </c>
      <c r="D116" s="51">
        <f>'Water Plant 1'!E98</f>
        <v>376516</v>
      </c>
      <c r="E116" s="51">
        <f>('Water Plant 1'!F98)-'Water Plant 1'!F35</f>
        <v>533867</v>
      </c>
      <c r="F116" s="51">
        <f>('Water Plant 1'!G98)-'Water Plant 1'!G35</f>
        <v>1161736.42</v>
      </c>
      <c r="G116" s="51">
        <f>('Water Plant 1'!H98)-'Water Plant 1'!H35</f>
        <v>1216913</v>
      </c>
      <c r="H116" s="51"/>
      <c r="I116" s="51">
        <f>('Water Plant 1'!J98)-'Water Plant 1'!J35</f>
        <v>707906.80900000001</v>
      </c>
      <c r="J116" s="51">
        <f>('Water Plant 1'!K98)-'Water Plant 1'!K35</f>
        <v>0</v>
      </c>
      <c r="K116" s="51">
        <f>('Water Plant 1'!L98)-'Water Plant 1'!L35</f>
        <v>707906.80900000001</v>
      </c>
    </row>
    <row r="117" spans="1:11" hidden="1" x14ac:dyDescent="0.25">
      <c r="A117" s="33" t="s">
        <v>3476</v>
      </c>
      <c r="B117" s="51">
        <v>0</v>
      </c>
      <c r="C117" s="51">
        <v>0</v>
      </c>
      <c r="D117" s="51">
        <v>0</v>
      </c>
      <c r="E117" s="51">
        <v>0</v>
      </c>
      <c r="F117" s="51">
        <v>0</v>
      </c>
      <c r="G117" s="56"/>
      <c r="H117" s="51"/>
      <c r="I117" s="51">
        <v>0</v>
      </c>
      <c r="J117" s="51">
        <v>0</v>
      </c>
    </row>
    <row r="118" spans="1:11" x14ac:dyDescent="0.25">
      <c r="A118" s="33" t="s">
        <v>3477</v>
      </c>
      <c r="B118" s="51">
        <f>'Water Plant 3'!C97</f>
        <v>450176</v>
      </c>
      <c r="C118" s="51">
        <f>'Water Plant 3'!D97</f>
        <v>492229</v>
      </c>
      <c r="D118" s="51">
        <f>'Water Plant 3'!E97</f>
        <v>1129256</v>
      </c>
      <c r="E118" s="51">
        <f>('Water Plant 3'!F97)-'Water Plant 3'!F34</f>
        <v>853328</v>
      </c>
      <c r="F118" s="51">
        <f>('Water Plant 3'!G97)-'Water Plant 3'!G34</f>
        <v>454219.02999999997</v>
      </c>
      <c r="G118" s="51">
        <f>('Water Plant 3'!H97)-'Water Plant 3'!H34</f>
        <v>511714.35</v>
      </c>
      <c r="H118" s="51"/>
      <c r="I118" s="51">
        <f>('Water Plant 3'!J97)-'Water Plant 3'!J34</f>
        <v>3510373.3850000002</v>
      </c>
      <c r="J118" s="51">
        <f>('Water Plant 3'!K97)-'Water Plant 3'!K34</f>
        <v>300000</v>
      </c>
      <c r="K118" s="51">
        <f>('Water Plant 3'!L97)-'Water Plant 3'!L34</f>
        <v>3810373.3850000002</v>
      </c>
    </row>
    <row r="119" spans="1:11" x14ac:dyDescent="0.25">
      <c r="A119" s="33" t="s">
        <v>3478</v>
      </c>
      <c r="B119" s="51">
        <f>'Sewer Services'!C105</f>
        <v>1040016</v>
      </c>
      <c r="C119" s="51">
        <f>'Sewer Services'!D105</f>
        <v>645934</v>
      </c>
      <c r="D119" s="51">
        <f>'Sewer Services'!E105</f>
        <v>817598</v>
      </c>
      <c r="E119" s="51">
        <f>('Sewer Services'!F105)-'Sewer Services'!F36</f>
        <v>763651</v>
      </c>
      <c r="F119" s="51">
        <f>('Sewer Services'!G105)-'Sewer Services'!G36</f>
        <v>305115.56999999995</v>
      </c>
      <c r="G119" s="51">
        <f>('Sewer Services'!H105)-'Sewer Services'!H36</f>
        <v>335763</v>
      </c>
      <c r="H119" s="51"/>
      <c r="I119" s="51">
        <f>('Sewer Services'!J105)-'Sewer Services'!J36</f>
        <v>492836.13900000008</v>
      </c>
      <c r="J119" s="51">
        <f>('Sewer Services'!K105)-'Sewer Services'!K36</f>
        <v>619600</v>
      </c>
      <c r="K119" s="51">
        <f>('Sewer Services'!L105)-'Sewer Services'!L36</f>
        <v>1112436.139</v>
      </c>
    </row>
    <row r="120" spans="1:11" x14ac:dyDescent="0.25">
      <c r="A120" s="33" t="s">
        <v>3479</v>
      </c>
      <c r="B120" s="51">
        <f>'Wastewater Treatment Plant'!C96</f>
        <v>422001</v>
      </c>
      <c r="C120" s="51">
        <f>'Wastewater Treatment Plant'!D96</f>
        <v>491751</v>
      </c>
      <c r="D120" s="51">
        <f>'Wastewater Treatment Plant'!E96</f>
        <v>540677</v>
      </c>
      <c r="E120" s="51">
        <f>('Wastewater Treatment Plant'!F96)-'Wastewater Treatment Plant'!F35</f>
        <v>1102007</v>
      </c>
      <c r="F120" s="51">
        <f>('Wastewater Treatment Plant'!G96)-'Wastewater Treatment Plant'!G35</f>
        <v>1156573.08</v>
      </c>
      <c r="G120" s="51">
        <f>('Wastewater Treatment Plant'!H96)-'Wastewater Treatment Plant'!H35</f>
        <v>1335392</v>
      </c>
      <c r="H120" s="51"/>
      <c r="I120" s="51">
        <f>('Wastewater Treatment Plant'!J96)-'Wastewater Treatment Plant'!J35</f>
        <v>2984318.9679999999</v>
      </c>
      <c r="J120" s="51">
        <f>('Wastewater Treatment Plant'!K96)-'Wastewater Treatment Plant'!K35</f>
        <v>300000</v>
      </c>
      <c r="K120" s="51">
        <f>('Wastewater Treatment Plant'!L96)-'Wastewater Treatment Plant'!L35</f>
        <v>3284318.9679999999</v>
      </c>
    </row>
    <row r="121" spans="1:11" x14ac:dyDescent="0.25">
      <c r="A121" s="33" t="s">
        <v>3480</v>
      </c>
      <c r="B121" s="51">
        <f>'Effluent Disposal'!C97</f>
        <v>279844</v>
      </c>
      <c r="C121" s="51">
        <f>'Effluent Disposal'!D97</f>
        <v>253946</v>
      </c>
      <c r="D121" s="51">
        <f>'Effluent Disposal'!E97</f>
        <v>522873</v>
      </c>
      <c r="E121" s="51">
        <f>('Effluent Disposal'!F97)-'Effluent Disposal'!F36</f>
        <v>3699536</v>
      </c>
      <c r="F121" s="51">
        <f>('Effluent Disposal'!G97)-'Effluent Disposal'!G36</f>
        <v>4593404.8499999996</v>
      </c>
      <c r="G121" s="51">
        <f>('Effluent Disposal'!H97)-'Effluent Disposal'!H36</f>
        <v>4607197</v>
      </c>
      <c r="H121" s="51"/>
      <c r="I121" s="51">
        <f>('Effluent Disposal'!J97)-'Effluent Disposal'!J36</f>
        <v>4391632.1610000003</v>
      </c>
      <c r="J121" s="51">
        <f>('Effluent Disposal'!K97)-'Effluent Disposal'!K36</f>
        <v>0</v>
      </c>
      <c r="K121" s="51">
        <f>('Effluent Disposal'!L97)-'Effluent Disposal'!L36</f>
        <v>4391632.1610000003</v>
      </c>
    </row>
    <row r="122" spans="1:11" hidden="1" x14ac:dyDescent="0.25">
      <c r="A122" s="33" t="s">
        <v>3481</v>
      </c>
      <c r="B122" s="51">
        <v>0</v>
      </c>
      <c r="C122" s="51">
        <v>0</v>
      </c>
      <c r="D122" s="51">
        <v>0</v>
      </c>
      <c r="E122" s="51">
        <v>0</v>
      </c>
      <c r="F122" s="51">
        <v>0</v>
      </c>
      <c r="G122" s="56"/>
      <c r="H122" s="51"/>
      <c r="I122" s="51">
        <v>0</v>
      </c>
      <c r="J122" s="51">
        <v>0</v>
      </c>
    </row>
    <row r="123" spans="1:11" hidden="1" x14ac:dyDescent="0.25">
      <c r="A123" s="33" t="s">
        <v>3482</v>
      </c>
      <c r="B123" s="51">
        <v>0</v>
      </c>
      <c r="C123" s="51">
        <v>0</v>
      </c>
      <c r="D123" s="51">
        <v>0</v>
      </c>
      <c r="E123" s="51">
        <v>0</v>
      </c>
      <c r="F123" s="51">
        <v>0</v>
      </c>
      <c r="G123" s="56"/>
      <c r="H123" s="51"/>
      <c r="I123" s="51">
        <v>0</v>
      </c>
      <c r="J123" s="51">
        <v>0</v>
      </c>
    </row>
    <row r="124" spans="1:11" x14ac:dyDescent="0.25">
      <c r="A124" s="33" t="s">
        <v>3483</v>
      </c>
      <c r="B124" s="51">
        <f>'Booster Pumps'!C92</f>
        <v>109703</v>
      </c>
      <c r="C124" s="51">
        <f>'Booster Pumps'!D92</f>
        <v>74156</v>
      </c>
      <c r="D124" s="51">
        <f>'Booster Pumps'!E92</f>
        <v>99386</v>
      </c>
      <c r="E124" s="51">
        <f>('Booster Pumps'!F92)-'Booster Pumps'!F34</f>
        <v>173766</v>
      </c>
      <c r="F124" s="51">
        <f>('Booster Pumps'!G92)-'Booster Pumps'!G34</f>
        <v>52446.250000000007</v>
      </c>
      <c r="G124" s="51">
        <f>('Booster Pumps'!H92)-'Booster Pumps'!H34</f>
        <v>65163</v>
      </c>
      <c r="H124" s="51"/>
      <c r="I124" s="51">
        <f>('Booster Pumps'!J92)-'Booster Pumps'!J34</f>
        <v>371595.32500000001</v>
      </c>
      <c r="J124" s="51">
        <f>('Booster Pumps'!K92)-'Booster Pumps'!K34</f>
        <v>0</v>
      </c>
      <c r="K124" s="51">
        <f>('Booster Pumps'!L92)-'Booster Pumps'!L34</f>
        <v>221595.32500000001</v>
      </c>
    </row>
    <row r="125" spans="1:11" x14ac:dyDescent="0.25">
      <c r="A125" s="33" t="s">
        <v>3484</v>
      </c>
      <c r="B125" s="51">
        <f>'Lift Stations'!C89</f>
        <v>317491</v>
      </c>
      <c r="C125" s="51">
        <f>'Lift Stations'!D89</f>
        <v>238132</v>
      </c>
      <c r="D125" s="51">
        <f>'Lift Stations'!E89</f>
        <v>467540</v>
      </c>
      <c r="E125" s="51">
        <f>('Lift Stations'!F89)-'Lift Stations'!F34</f>
        <v>1242540</v>
      </c>
      <c r="F125" s="51">
        <f>('Lift Stations'!G89)-'Lift Stations'!G34</f>
        <v>303216.40000000002</v>
      </c>
      <c r="G125" s="51">
        <f>('Lift Stations'!H89)-'Lift Stations'!H34</f>
        <v>311163</v>
      </c>
      <c r="H125" s="51"/>
      <c r="I125" s="51">
        <f>('Lift Stations'!J89)-'Lift Stations'!J34</f>
        <v>282654.06299999997</v>
      </c>
      <c r="J125" s="51">
        <f>('Lift Stations'!K89)-'Lift Stations'!K34</f>
        <v>0</v>
      </c>
      <c r="K125" s="51">
        <f>('Lift Stations'!L89)-'Lift Stations'!L34</f>
        <v>282654.06299999997</v>
      </c>
    </row>
    <row r="126" spans="1:11" hidden="1" x14ac:dyDescent="0.25">
      <c r="A126" s="33" t="s">
        <v>3485</v>
      </c>
      <c r="B126" s="51">
        <v>0</v>
      </c>
      <c r="C126" s="51">
        <v>0</v>
      </c>
      <c r="D126" s="51">
        <v>0</v>
      </c>
      <c r="E126" s="51">
        <v>0</v>
      </c>
      <c r="F126" s="51">
        <v>0</v>
      </c>
      <c r="G126" s="51"/>
      <c r="H126" s="51"/>
      <c r="I126" s="51">
        <v>0</v>
      </c>
      <c r="J126" s="51">
        <v>0</v>
      </c>
    </row>
    <row r="127" spans="1:11" x14ac:dyDescent="0.25">
      <c r="A127" s="33" t="s">
        <v>3446</v>
      </c>
      <c r="B127" s="51">
        <v>0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/>
      <c r="I127" s="51">
        <v>0</v>
      </c>
      <c r="J127" s="51">
        <v>0</v>
      </c>
      <c r="K127" s="52">
        <f>I127+J127</f>
        <v>0</v>
      </c>
    </row>
    <row r="128" spans="1:11" x14ac:dyDescent="0.25">
      <c r="A128" s="33" t="s">
        <v>3486</v>
      </c>
      <c r="B128" s="51">
        <v>0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/>
      <c r="I128" s="51">
        <v>0</v>
      </c>
      <c r="J128" s="51">
        <v>0</v>
      </c>
      <c r="K128" s="52">
        <f>I128+J128</f>
        <v>0</v>
      </c>
    </row>
    <row r="129" spans="1:11" x14ac:dyDescent="0.25">
      <c r="A129" s="33" t="s">
        <v>3449</v>
      </c>
      <c r="B129" s="51">
        <v>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/>
      <c r="I129" s="51">
        <v>0</v>
      </c>
      <c r="J129" s="51">
        <v>0</v>
      </c>
      <c r="K129" s="52">
        <f>I129+J129</f>
        <v>0</v>
      </c>
    </row>
    <row r="130" spans="1:11" x14ac:dyDescent="0.25">
      <c r="A130" s="33" t="s">
        <v>3487</v>
      </c>
      <c r="B130" s="51">
        <v>0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/>
      <c r="I130" s="51">
        <v>0</v>
      </c>
      <c r="J130" s="51">
        <v>0</v>
      </c>
      <c r="K130" s="52">
        <f>I130+J130</f>
        <v>0</v>
      </c>
    </row>
    <row r="131" spans="1:11" x14ac:dyDescent="0.25">
      <c r="B131" s="51"/>
      <c r="C131" s="51"/>
      <c r="D131" s="51"/>
      <c r="E131" s="51"/>
      <c r="F131" s="51"/>
      <c r="G131" s="51"/>
      <c r="H131" s="51"/>
    </row>
    <row r="132" spans="1:11" x14ac:dyDescent="0.25">
      <c r="A132" s="33" t="s">
        <v>3488</v>
      </c>
      <c r="B132" s="51">
        <f t="shared" ref="B132:G132" si="9">SUM(B110:B130)</f>
        <v>7706729</v>
      </c>
      <c r="C132" s="51">
        <f t="shared" si="9"/>
        <v>6826077</v>
      </c>
      <c r="D132" s="51">
        <f t="shared" si="9"/>
        <v>9265355</v>
      </c>
      <c r="E132" s="51">
        <f t="shared" si="9"/>
        <v>14149618</v>
      </c>
      <c r="F132" s="51">
        <f t="shared" si="9"/>
        <v>10835805.810000001</v>
      </c>
      <c r="G132" s="51">
        <f t="shared" si="9"/>
        <v>13472839.43</v>
      </c>
      <c r="H132" s="51"/>
      <c r="I132" s="51">
        <f>SUM(I110:I130)</f>
        <v>17790363.445000004</v>
      </c>
      <c r="J132" s="51">
        <f>SUM(J110:J130)</f>
        <v>1263500</v>
      </c>
      <c r="K132" s="51">
        <f>SUM(K110:K130)</f>
        <v>18903863.445000004</v>
      </c>
    </row>
    <row r="133" spans="1:11" x14ac:dyDescent="0.25">
      <c r="B133" s="51"/>
      <c r="C133" s="51"/>
      <c r="D133" s="51"/>
      <c r="E133" s="51"/>
      <c r="F133" s="51"/>
      <c r="G133" s="51"/>
      <c r="H133" s="51"/>
    </row>
    <row r="134" spans="1:11" x14ac:dyDescent="0.25">
      <c r="A134" s="33" t="s">
        <v>3452</v>
      </c>
      <c r="B134" s="51">
        <f>B106-B132</f>
        <v>5286487</v>
      </c>
      <c r="C134" s="51">
        <f t="shared" ref="C134:E134" si="10">C106-C132</f>
        <v>3881612</v>
      </c>
      <c r="D134" s="51">
        <f t="shared" si="10"/>
        <v>1388415</v>
      </c>
      <c r="E134" s="51">
        <f t="shared" si="10"/>
        <v>-1520994</v>
      </c>
      <c r="F134" s="51">
        <f>F106-F132</f>
        <v>-2328265.7700000014</v>
      </c>
      <c r="G134" s="58"/>
      <c r="H134" s="51"/>
      <c r="I134" s="51">
        <f>I106-I132</f>
        <v>-2081438.445000004</v>
      </c>
      <c r="J134" s="51">
        <f>J106-J132</f>
        <v>-1263500</v>
      </c>
      <c r="K134" s="51">
        <f>K106-K132</f>
        <v>-3194938.445000004</v>
      </c>
    </row>
    <row r="135" spans="1:11" x14ac:dyDescent="0.25">
      <c r="B135" s="51"/>
      <c r="C135" s="51"/>
      <c r="D135" s="51"/>
      <c r="E135" s="51"/>
      <c r="F135" s="51"/>
      <c r="G135" s="58"/>
      <c r="H135" s="51"/>
      <c r="I135" s="51"/>
      <c r="J135" s="51"/>
    </row>
    <row r="136" spans="1:11" x14ac:dyDescent="0.25">
      <c r="A136" s="55" t="s">
        <v>3453</v>
      </c>
      <c r="B136" s="51">
        <v>3403310</v>
      </c>
      <c r="C136" s="51">
        <v>-3031189</v>
      </c>
      <c r="D136" s="51">
        <v>-26442</v>
      </c>
      <c r="E136" s="51">
        <v>0</v>
      </c>
      <c r="F136" s="51">
        <v>0</v>
      </c>
      <c r="G136" s="51"/>
      <c r="H136" s="51"/>
      <c r="I136" s="51">
        <v>0</v>
      </c>
      <c r="J136" s="51">
        <f>H136+I136</f>
        <v>0</v>
      </c>
      <c r="K136" s="52">
        <f>I136+J136</f>
        <v>0</v>
      </c>
    </row>
    <row r="137" spans="1:11" x14ac:dyDescent="0.25">
      <c r="B137" s="51"/>
      <c r="C137" s="51"/>
      <c r="D137" s="51"/>
      <c r="E137" s="51"/>
      <c r="F137" s="51"/>
      <c r="G137" s="51"/>
      <c r="H137" s="51"/>
    </row>
    <row r="138" spans="1:11" x14ac:dyDescent="0.25">
      <c r="A138" s="33" t="s">
        <v>3454</v>
      </c>
      <c r="B138" s="51">
        <f>+B104+B106-B132+B136</f>
        <v>13669661</v>
      </c>
      <c r="C138" s="51">
        <f t="shared" ref="C138:K138" si="11">+C104+C106-C132+C136</f>
        <v>14520084</v>
      </c>
      <c r="D138" s="51">
        <f t="shared" si="11"/>
        <v>15882057</v>
      </c>
      <c r="E138" s="51">
        <f t="shared" si="11"/>
        <v>14361063</v>
      </c>
      <c r="F138" s="51">
        <f t="shared" si="11"/>
        <v>-2328265.7700000014</v>
      </c>
      <c r="G138" s="51">
        <f t="shared" si="11"/>
        <v>12321769.57</v>
      </c>
      <c r="H138" s="51"/>
      <c r="I138" s="51">
        <f t="shared" si="11"/>
        <v>-2081438.445000004</v>
      </c>
      <c r="J138" s="51">
        <f t="shared" si="11"/>
        <v>-1263500</v>
      </c>
      <c r="K138" s="51">
        <f t="shared" si="11"/>
        <v>9126831.1249999963</v>
      </c>
    </row>
    <row r="139" spans="1:11" x14ac:dyDescent="0.25">
      <c r="B139" s="51"/>
      <c r="C139" s="51"/>
      <c r="D139" s="51"/>
      <c r="E139" s="51"/>
      <c r="F139" s="51"/>
      <c r="G139" s="51"/>
      <c r="H139" s="51"/>
    </row>
    <row r="140" spans="1:11" x14ac:dyDescent="0.25">
      <c r="B140" s="51"/>
      <c r="C140" s="51"/>
      <c r="D140" s="51"/>
      <c r="E140" s="51"/>
      <c r="F140" s="51"/>
      <c r="G140" s="51"/>
      <c r="H140" s="51"/>
    </row>
    <row r="141" spans="1:11" x14ac:dyDescent="0.25">
      <c r="A141" s="33" t="s">
        <v>3489</v>
      </c>
      <c r="G141" s="59"/>
    </row>
    <row r="142" spans="1:11" x14ac:dyDescent="0.25">
      <c r="A142" s="33" t="s">
        <v>3490</v>
      </c>
      <c r="B142" s="59">
        <f>+B16+B18</f>
        <v>12674039</v>
      </c>
      <c r="C142" s="59">
        <f t="shared" ref="C142:G142" si="12">+C16+C18</f>
        <v>14540628</v>
      </c>
      <c r="D142" s="59">
        <f t="shared" si="12"/>
        <v>16536222</v>
      </c>
      <c r="E142" s="59">
        <f t="shared" si="12"/>
        <v>15723432</v>
      </c>
      <c r="F142" s="59">
        <f t="shared" si="12"/>
        <v>12024515.310000001</v>
      </c>
      <c r="G142" s="59">
        <f t="shared" si="12"/>
        <v>15185739</v>
      </c>
      <c r="H142" s="59"/>
      <c r="I142" s="59">
        <f>+I16+I18</f>
        <v>15487068</v>
      </c>
      <c r="J142" s="59">
        <f>+J16+J18</f>
        <v>0</v>
      </c>
      <c r="K142" s="59">
        <f>+K16+K18</f>
        <v>15487068</v>
      </c>
    </row>
    <row r="143" spans="1:11" x14ac:dyDescent="0.25">
      <c r="A143" s="33" t="s">
        <v>3491</v>
      </c>
      <c r="B143" s="59">
        <f t="shared" ref="B143:G143" si="13">B63+B64</f>
        <v>420123</v>
      </c>
      <c r="C143" s="59">
        <f t="shared" si="13"/>
        <v>715721</v>
      </c>
      <c r="D143" s="59">
        <f t="shared" si="13"/>
        <v>343484</v>
      </c>
      <c r="E143" s="59">
        <f t="shared" si="13"/>
        <v>380354</v>
      </c>
      <c r="F143" s="59">
        <f t="shared" si="13"/>
        <v>246484.65999999997</v>
      </c>
      <c r="G143" s="59">
        <f t="shared" si="13"/>
        <v>313710</v>
      </c>
      <c r="H143" s="59"/>
      <c r="I143" s="59">
        <f>I63+I64</f>
        <v>343800</v>
      </c>
      <c r="J143" s="59">
        <f>J63+J64</f>
        <v>0</v>
      </c>
      <c r="K143" s="59">
        <f>K63+K64</f>
        <v>343800</v>
      </c>
    </row>
    <row r="144" spans="1:11" x14ac:dyDescent="0.25">
      <c r="A144" s="33" t="s">
        <v>3492</v>
      </c>
      <c r="B144" s="59">
        <f t="shared" ref="B144:G144" si="14">+B78+B83</f>
        <v>1204687</v>
      </c>
      <c r="C144" s="59">
        <f t="shared" si="14"/>
        <v>1319485</v>
      </c>
      <c r="D144" s="59">
        <f t="shared" si="14"/>
        <v>1487871</v>
      </c>
      <c r="E144" s="59">
        <f t="shared" si="14"/>
        <v>1593219</v>
      </c>
      <c r="F144" s="59">
        <f t="shared" si="14"/>
        <v>744160.94000000006</v>
      </c>
      <c r="G144" s="59">
        <f t="shared" si="14"/>
        <v>889935</v>
      </c>
      <c r="H144" s="59"/>
      <c r="I144" s="59">
        <f>+I78+I83</f>
        <v>1185403</v>
      </c>
      <c r="J144" s="59">
        <f>+J78+J83</f>
        <v>0</v>
      </c>
      <c r="K144" s="59">
        <f>+K78+K83</f>
        <v>1185403</v>
      </c>
    </row>
    <row r="145" spans="1:11" x14ac:dyDescent="0.25">
      <c r="A145" s="33" t="s">
        <v>3493</v>
      </c>
      <c r="B145" s="59">
        <f>+B106</f>
        <v>12993216</v>
      </c>
      <c r="C145" s="59">
        <f t="shared" ref="C145:K145" si="15">+C106</f>
        <v>10707689</v>
      </c>
      <c r="D145" s="59">
        <f t="shared" si="15"/>
        <v>10653770</v>
      </c>
      <c r="E145" s="59">
        <f t="shared" si="15"/>
        <v>12628624</v>
      </c>
      <c r="F145" s="59">
        <f t="shared" si="15"/>
        <v>8507540.0399999991</v>
      </c>
      <c r="G145" s="59">
        <f t="shared" si="15"/>
        <v>9912552</v>
      </c>
      <c r="H145" s="59"/>
      <c r="I145" s="59">
        <f t="shared" si="15"/>
        <v>15708925</v>
      </c>
      <c r="J145" s="59">
        <f t="shared" si="15"/>
        <v>0</v>
      </c>
      <c r="K145" s="59">
        <f t="shared" si="15"/>
        <v>15708925</v>
      </c>
    </row>
    <row r="146" spans="1:11" x14ac:dyDescent="0.25">
      <c r="A146" s="33" t="s">
        <v>109</v>
      </c>
      <c r="B146" s="59">
        <f t="shared" ref="B146:G146" si="16">SUM(B142:B145)</f>
        <v>27292065</v>
      </c>
      <c r="C146" s="59">
        <f t="shared" si="16"/>
        <v>27283523</v>
      </c>
      <c r="D146" s="59">
        <f t="shared" si="16"/>
        <v>29021347</v>
      </c>
      <c r="E146" s="59">
        <f t="shared" si="16"/>
        <v>30325629</v>
      </c>
      <c r="F146" s="59">
        <f t="shared" si="16"/>
        <v>21522700.949999999</v>
      </c>
      <c r="G146" s="59">
        <f t="shared" si="16"/>
        <v>26301936</v>
      </c>
      <c r="H146" s="59"/>
      <c r="I146" s="59">
        <f>SUM(I142:I145)</f>
        <v>32725196</v>
      </c>
      <c r="J146" s="59">
        <f>SUM(J142:J145)</f>
        <v>0</v>
      </c>
      <c r="K146" s="59">
        <f>SUM(K142:K145)</f>
        <v>32725196</v>
      </c>
    </row>
    <row r="147" spans="1:11" x14ac:dyDescent="0.25">
      <c r="G147" s="59"/>
    </row>
    <row r="148" spans="1:11" x14ac:dyDescent="0.25">
      <c r="A148" s="33" t="s">
        <v>3494</v>
      </c>
      <c r="G148" s="59"/>
    </row>
    <row r="149" spans="1:11" x14ac:dyDescent="0.25">
      <c r="A149" s="33" t="s">
        <v>3490</v>
      </c>
      <c r="B149" s="59">
        <f t="shared" ref="B149:G149" si="17">+B50</f>
        <v>10834697</v>
      </c>
      <c r="C149" s="59">
        <f t="shared" si="17"/>
        <v>12138109</v>
      </c>
      <c r="D149" s="59">
        <f t="shared" si="17"/>
        <v>12990329</v>
      </c>
      <c r="E149" s="59">
        <f t="shared" si="17"/>
        <v>7789116</v>
      </c>
      <c r="F149" s="59">
        <f t="shared" si="17"/>
        <v>4521988.66</v>
      </c>
      <c r="G149" s="59">
        <f t="shared" si="17"/>
        <v>5042356.41</v>
      </c>
      <c r="H149" s="59"/>
      <c r="I149" s="59">
        <f>+I50</f>
        <v>5363755.5059999991</v>
      </c>
      <c r="J149" s="59">
        <f>+J50</f>
        <v>289900</v>
      </c>
      <c r="K149" s="59">
        <f>+K50</f>
        <v>5653655.5059999991</v>
      </c>
    </row>
    <row r="150" spans="1:11" x14ac:dyDescent="0.25">
      <c r="A150" s="33" t="s">
        <v>3491</v>
      </c>
      <c r="B150" s="59">
        <f t="shared" ref="B150:G150" si="18">B65</f>
        <v>490805</v>
      </c>
      <c r="C150" s="59">
        <f t="shared" si="18"/>
        <v>268959</v>
      </c>
      <c r="D150" s="59">
        <f t="shared" si="18"/>
        <v>306113</v>
      </c>
      <c r="E150" s="59">
        <f t="shared" si="18"/>
        <v>363471</v>
      </c>
      <c r="F150" s="59">
        <f t="shared" si="18"/>
        <v>297543.45</v>
      </c>
      <c r="G150" s="59">
        <f t="shared" si="18"/>
        <v>336131</v>
      </c>
      <c r="H150" s="59"/>
      <c r="I150" s="59">
        <f>I65</f>
        <v>306426.71000000002</v>
      </c>
      <c r="J150" s="59">
        <f>J65</f>
        <v>0</v>
      </c>
      <c r="K150" s="59">
        <f>K65</f>
        <v>306426.71000000002</v>
      </c>
    </row>
    <row r="151" spans="1:11" x14ac:dyDescent="0.25">
      <c r="A151" s="33" t="s">
        <v>3492</v>
      </c>
      <c r="B151" s="59">
        <f t="shared" ref="B151:G151" si="19">+B93</f>
        <v>821490</v>
      </c>
      <c r="C151" s="59">
        <f t="shared" si="19"/>
        <v>1128565</v>
      </c>
      <c r="D151" s="59">
        <f t="shared" si="19"/>
        <v>1219496</v>
      </c>
      <c r="E151" s="59">
        <f t="shared" si="19"/>
        <v>626195</v>
      </c>
      <c r="F151" s="59">
        <f t="shared" si="19"/>
        <v>403282.74000000005</v>
      </c>
      <c r="G151" s="59">
        <f t="shared" si="19"/>
        <v>456324</v>
      </c>
      <c r="H151" s="59"/>
      <c r="I151" s="59">
        <f>+I93</f>
        <v>468700.80999999988</v>
      </c>
      <c r="J151" s="59">
        <f>+J93</f>
        <v>75000</v>
      </c>
      <c r="K151" s="59">
        <f>+K93</f>
        <v>543700.80999999982</v>
      </c>
    </row>
    <row r="152" spans="1:11" x14ac:dyDescent="0.25">
      <c r="A152" s="33" t="s">
        <v>3493</v>
      </c>
      <c r="B152" s="59">
        <f t="shared" ref="B152:G152" si="20">+B132</f>
        <v>7706729</v>
      </c>
      <c r="C152" s="59">
        <f t="shared" si="20"/>
        <v>6826077</v>
      </c>
      <c r="D152" s="59">
        <f t="shared" si="20"/>
        <v>9265355</v>
      </c>
      <c r="E152" s="59">
        <f t="shared" si="20"/>
        <v>14149618</v>
      </c>
      <c r="F152" s="59">
        <f t="shared" si="20"/>
        <v>10835805.810000001</v>
      </c>
      <c r="G152" s="59">
        <f t="shared" si="20"/>
        <v>13472839.43</v>
      </c>
      <c r="H152" s="59"/>
      <c r="I152" s="59">
        <f>+I132</f>
        <v>17790363.445000004</v>
      </c>
      <c r="J152" s="59">
        <f>+J132</f>
        <v>1263500</v>
      </c>
      <c r="K152" s="59">
        <f>+K132</f>
        <v>18903863.445000004</v>
      </c>
    </row>
    <row r="153" spans="1:11" x14ac:dyDescent="0.25">
      <c r="A153" s="33" t="s">
        <v>109</v>
      </c>
      <c r="B153" s="59">
        <f t="shared" ref="B153:G153" si="21">SUM(B149:B152)</f>
        <v>19853721</v>
      </c>
      <c r="C153" s="59">
        <f t="shared" si="21"/>
        <v>20361710</v>
      </c>
      <c r="D153" s="59">
        <f t="shared" si="21"/>
        <v>23781293</v>
      </c>
      <c r="E153" s="59">
        <f t="shared" si="21"/>
        <v>22928400</v>
      </c>
      <c r="F153" s="59">
        <f t="shared" si="21"/>
        <v>16058620.66</v>
      </c>
      <c r="G153" s="59">
        <f t="shared" si="21"/>
        <v>19307650.84</v>
      </c>
      <c r="H153" s="59"/>
      <c r="I153" s="59">
        <f>SUM(I149:I152)</f>
        <v>23929246.471000001</v>
      </c>
      <c r="J153" s="59">
        <f>SUM(J149:J152)</f>
        <v>1628400</v>
      </c>
      <c r="K153" s="59">
        <f>SUM(K149:K152)</f>
        <v>25407646.471000001</v>
      </c>
    </row>
    <row r="155" spans="1:11" x14ac:dyDescent="0.25">
      <c r="A155" s="33" t="s">
        <v>3495</v>
      </c>
      <c r="B155" s="59">
        <f>+B146-B153</f>
        <v>7438344</v>
      </c>
      <c r="C155" s="59">
        <f>+C146-C153</f>
        <v>6921813</v>
      </c>
      <c r="D155" s="59">
        <f t="shared" ref="D155:G155" si="22">+D146-D153</f>
        <v>5240054</v>
      </c>
      <c r="E155" s="59">
        <f t="shared" si="22"/>
        <v>7397229</v>
      </c>
      <c r="F155" s="59">
        <f t="shared" si="22"/>
        <v>5464080.2899999991</v>
      </c>
      <c r="G155" s="59">
        <f t="shared" si="22"/>
        <v>6994285.1600000001</v>
      </c>
      <c r="H155" s="59"/>
      <c r="I155" s="59">
        <f>+I146-I153</f>
        <v>8795949.5289999992</v>
      </c>
      <c r="J155" s="59">
        <f>+J146-J153</f>
        <v>-1628400</v>
      </c>
      <c r="K155" s="59">
        <f>+K146-K153</f>
        <v>7317549.5289999992</v>
      </c>
    </row>
    <row r="156" spans="1:11" x14ac:dyDescent="0.25">
      <c r="B156" s="59"/>
      <c r="C156" s="59"/>
      <c r="D156" s="59"/>
      <c r="E156" s="59"/>
      <c r="F156" s="59"/>
      <c r="G156" s="59"/>
      <c r="H156" s="59"/>
    </row>
    <row r="157" spans="1:11" x14ac:dyDescent="0.25">
      <c r="B157" s="51"/>
      <c r="C157" s="51"/>
      <c r="D157" s="51"/>
      <c r="E157" s="51"/>
      <c r="F157" s="51"/>
      <c r="G157" s="51"/>
      <c r="H157" s="51"/>
    </row>
    <row r="158" spans="1:11" x14ac:dyDescent="0.25">
      <c r="A158" s="49" t="s">
        <v>3496</v>
      </c>
      <c r="B158" s="51"/>
      <c r="C158" s="51"/>
      <c r="D158" s="51"/>
      <c r="E158" s="51"/>
      <c r="F158" s="51"/>
      <c r="G158" s="51"/>
      <c r="H158" s="51"/>
    </row>
    <row r="159" spans="1:11" x14ac:dyDescent="0.25">
      <c r="A159" s="49"/>
      <c r="B159" s="51"/>
      <c r="C159" s="51"/>
      <c r="D159" s="51"/>
      <c r="E159" s="51"/>
      <c r="F159" s="51"/>
      <c r="G159" s="51"/>
      <c r="H159" s="51"/>
    </row>
    <row r="160" spans="1:11" x14ac:dyDescent="0.25">
      <c r="A160" s="33" t="s">
        <v>3420</v>
      </c>
      <c r="B160" s="51">
        <v>767424</v>
      </c>
      <c r="C160" s="51">
        <v>926836</v>
      </c>
      <c r="D160" s="51">
        <v>1044925</v>
      </c>
      <c r="E160" s="51">
        <v>1089793</v>
      </c>
      <c r="F160" s="51">
        <v>0</v>
      </c>
      <c r="G160" s="51">
        <v>1089793</v>
      </c>
      <c r="H160" s="51"/>
      <c r="I160" s="51">
        <v>0</v>
      </c>
      <c r="J160" s="51">
        <v>0</v>
      </c>
      <c r="K160" s="52">
        <f>G173</f>
        <v>1204977</v>
      </c>
    </row>
    <row r="161" spans="1:11" x14ac:dyDescent="0.25">
      <c r="B161" s="51"/>
      <c r="C161" s="51"/>
      <c r="D161" s="51"/>
      <c r="E161" s="51"/>
      <c r="F161" s="51"/>
      <c r="G161" s="51"/>
      <c r="H161" s="51"/>
    </row>
    <row r="162" spans="1:11" x14ac:dyDescent="0.25">
      <c r="A162" s="33" t="s">
        <v>3421</v>
      </c>
      <c r="B162" s="51">
        <f>'Hotel Fund'!C10</f>
        <v>236652</v>
      </c>
      <c r="C162" s="51">
        <f>'Hotel Fund'!D10</f>
        <v>213820</v>
      </c>
      <c r="D162" s="51">
        <f>'Hotel Fund'!E10</f>
        <v>190782</v>
      </c>
      <c r="E162" s="51">
        <f>'Hotel Fund'!F10</f>
        <v>261012</v>
      </c>
      <c r="F162" s="51">
        <f>'Hotel Fund'!G10</f>
        <v>167444.71</v>
      </c>
      <c r="G162" s="51">
        <f>'Hotel Fund'!H10</f>
        <v>170000</v>
      </c>
      <c r="H162" s="51"/>
      <c r="I162" s="51">
        <f>'Hotel Fund'!J10</f>
        <v>160000</v>
      </c>
      <c r="J162" s="51">
        <f>'Hotel Fund'!K10</f>
        <v>0</v>
      </c>
      <c r="K162" s="51">
        <f>'Hotel Fund'!L10</f>
        <v>160000</v>
      </c>
    </row>
    <row r="163" spans="1:11" x14ac:dyDescent="0.25">
      <c r="A163" s="33" t="s">
        <v>3497</v>
      </c>
      <c r="B163" s="51">
        <v>0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/>
      <c r="I163" s="51">
        <v>0</v>
      </c>
      <c r="J163" s="51">
        <v>0</v>
      </c>
      <c r="K163" s="52">
        <f>I163+J163</f>
        <v>0</v>
      </c>
    </row>
    <row r="164" spans="1:11" x14ac:dyDescent="0.25">
      <c r="A164" s="33" t="s">
        <v>3498</v>
      </c>
      <c r="B164" s="51">
        <f>'Hotel Fund'!C11</f>
        <v>6353</v>
      </c>
      <c r="C164" s="51">
        <f>'Hotel Fund'!D11</f>
        <v>44268</v>
      </c>
      <c r="D164" s="51">
        <f>'Hotel Fund'!E11</f>
        <v>55057</v>
      </c>
      <c r="E164" s="51">
        <f>'Hotel Fund'!F11</f>
        <v>40988</v>
      </c>
      <c r="F164" s="51">
        <f>'Hotel Fund'!G11</f>
        <v>36313.550000000003</v>
      </c>
      <c r="G164" s="51">
        <f>'Hotel Fund'!H11</f>
        <v>48184</v>
      </c>
      <c r="H164" s="51"/>
      <c r="I164" s="51">
        <f>'Hotel Fund'!J11</f>
        <v>52000</v>
      </c>
      <c r="J164" s="51">
        <f>'Hotel Fund'!K11</f>
        <v>0</v>
      </c>
      <c r="K164" s="51">
        <f>'Hotel Fund'!L11</f>
        <v>52000</v>
      </c>
    </row>
    <row r="165" spans="1:11" x14ac:dyDescent="0.25">
      <c r="A165" s="33" t="s">
        <v>3499</v>
      </c>
      <c r="B165" s="51">
        <v>0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/>
      <c r="I165" s="51">
        <v>0</v>
      </c>
      <c r="J165" s="51">
        <v>0</v>
      </c>
      <c r="K165" s="52">
        <f>I165+J165</f>
        <v>0</v>
      </c>
    </row>
    <row r="166" spans="1:11" x14ac:dyDescent="0.25">
      <c r="B166" s="51"/>
      <c r="C166" s="51"/>
      <c r="D166" s="51"/>
      <c r="E166" s="51"/>
      <c r="F166" s="51"/>
      <c r="G166" s="51"/>
      <c r="H166" s="51"/>
      <c r="I166" s="51"/>
      <c r="J166" s="51"/>
    </row>
    <row r="167" spans="1:11" x14ac:dyDescent="0.25">
      <c r="A167" s="33" t="s">
        <v>3457</v>
      </c>
      <c r="B167" s="51">
        <f>'Hotel Fund'!C82</f>
        <v>83593</v>
      </c>
      <c r="C167" s="51">
        <f>'Hotel Fund'!D82</f>
        <v>139999</v>
      </c>
      <c r="D167" s="51">
        <f>'Hotel Fund'!E82</f>
        <v>200971</v>
      </c>
      <c r="E167" s="51">
        <f>'Hotel Fund'!F82</f>
        <v>153550</v>
      </c>
      <c r="F167" s="51">
        <f>'Hotel Fund'!G82</f>
        <v>83346.709999999992</v>
      </c>
      <c r="G167" s="51">
        <f>'Hotel Fund'!H82</f>
        <v>103000</v>
      </c>
      <c r="H167" s="51"/>
      <c r="I167" s="51">
        <f>'Hotel Fund'!J82</f>
        <v>150250</v>
      </c>
      <c r="J167" s="51">
        <f>'Hotel Fund'!K82</f>
        <v>260350</v>
      </c>
      <c r="K167" s="51">
        <f>'Hotel Fund'!L82</f>
        <v>410600</v>
      </c>
    </row>
    <row r="168" spans="1:11" x14ac:dyDescent="0.25">
      <c r="B168" s="51"/>
      <c r="C168" s="51"/>
      <c r="D168" s="51"/>
      <c r="E168" s="51"/>
      <c r="F168" s="51"/>
      <c r="G168" s="51"/>
      <c r="H168" s="51"/>
    </row>
    <row r="169" spans="1:11" x14ac:dyDescent="0.25">
      <c r="A169" s="33" t="s">
        <v>3452</v>
      </c>
      <c r="B169" s="51">
        <f t="shared" ref="B169:G169" si="23">B162+B163+B164+B165-B167</f>
        <v>159412</v>
      </c>
      <c r="C169" s="51">
        <f t="shared" si="23"/>
        <v>118089</v>
      </c>
      <c r="D169" s="51">
        <f t="shared" si="23"/>
        <v>44868</v>
      </c>
      <c r="E169" s="51">
        <f t="shared" si="23"/>
        <v>148450</v>
      </c>
      <c r="F169" s="51">
        <f t="shared" si="23"/>
        <v>120411.55000000002</v>
      </c>
      <c r="G169" s="51">
        <f t="shared" si="23"/>
        <v>115184</v>
      </c>
      <c r="H169" s="51"/>
      <c r="I169" s="51">
        <f>I162+I163+I164+I165-I167</f>
        <v>61750</v>
      </c>
      <c r="J169" s="51">
        <f>J162+J163+J164+J165-J167</f>
        <v>-260350</v>
      </c>
      <c r="K169" s="51">
        <f>K162+K163+K164+K165-K167</f>
        <v>-198600</v>
      </c>
    </row>
    <row r="170" spans="1:11" x14ac:dyDescent="0.25">
      <c r="B170" s="51"/>
      <c r="C170" s="51"/>
      <c r="D170" s="51"/>
      <c r="E170" s="51"/>
      <c r="F170" s="51"/>
      <c r="G170" s="58"/>
      <c r="H170" s="51"/>
      <c r="I170" s="51"/>
      <c r="J170" s="51"/>
    </row>
    <row r="171" spans="1:11" x14ac:dyDescent="0.25">
      <c r="A171" s="55" t="s">
        <v>3453</v>
      </c>
      <c r="B171" s="51">
        <v>0</v>
      </c>
      <c r="C171" s="51">
        <v>0</v>
      </c>
      <c r="D171" s="51">
        <v>0</v>
      </c>
      <c r="E171" s="51">
        <v>0</v>
      </c>
      <c r="F171" s="51">
        <v>0</v>
      </c>
      <c r="G171" s="51"/>
      <c r="H171" s="51"/>
      <c r="I171" s="51">
        <v>0</v>
      </c>
      <c r="J171" s="51">
        <v>0</v>
      </c>
      <c r="K171" s="52">
        <f>I171+J171</f>
        <v>0</v>
      </c>
    </row>
    <row r="172" spans="1:11" x14ac:dyDescent="0.25">
      <c r="B172" s="51"/>
      <c r="C172" s="51"/>
      <c r="D172" s="51"/>
      <c r="E172" s="51"/>
      <c r="F172" s="51"/>
      <c r="G172" s="51"/>
      <c r="H172" s="51"/>
    </row>
    <row r="173" spans="1:11" x14ac:dyDescent="0.25">
      <c r="A173" s="33" t="s">
        <v>3454</v>
      </c>
      <c r="B173" s="51">
        <f t="shared" ref="B173:K173" si="24">+B160+B162+B164-B167+B165+B171</f>
        <v>926836</v>
      </c>
      <c r="C173" s="51">
        <f t="shared" si="24"/>
        <v>1044925</v>
      </c>
      <c r="D173" s="51">
        <f t="shared" si="24"/>
        <v>1089793</v>
      </c>
      <c r="E173" s="51">
        <f t="shared" si="24"/>
        <v>1238243</v>
      </c>
      <c r="F173" s="51">
        <f t="shared" si="24"/>
        <v>120411.55000000002</v>
      </c>
      <c r="G173" s="51">
        <f t="shared" si="24"/>
        <v>1204977</v>
      </c>
      <c r="H173" s="51"/>
      <c r="I173" s="51">
        <f t="shared" si="24"/>
        <v>61750</v>
      </c>
      <c r="J173" s="51">
        <f t="shared" si="24"/>
        <v>-260350</v>
      </c>
      <c r="K173" s="51">
        <f t="shared" si="24"/>
        <v>1006377</v>
      </c>
    </row>
    <row r="174" spans="1:11" x14ac:dyDescent="0.25">
      <c r="B174" s="51"/>
      <c r="C174" s="51"/>
      <c r="D174" s="51"/>
      <c r="E174" s="51"/>
      <c r="F174" s="51"/>
      <c r="G174" s="51"/>
      <c r="H174" s="51"/>
    </row>
    <row r="175" spans="1:11" x14ac:dyDescent="0.25">
      <c r="B175" s="51"/>
      <c r="C175" s="51"/>
      <c r="D175" s="51"/>
      <c r="E175" s="51"/>
      <c r="F175" s="51"/>
      <c r="G175" s="51"/>
      <c r="H175" s="51"/>
    </row>
    <row r="176" spans="1:11" x14ac:dyDescent="0.25">
      <c r="A176" s="60" t="s">
        <v>3500</v>
      </c>
      <c r="B176" s="51"/>
      <c r="C176" s="51"/>
      <c r="D176" s="51"/>
      <c r="E176" s="51"/>
      <c r="F176" s="51"/>
      <c r="G176" s="51"/>
      <c r="H176" s="51"/>
    </row>
    <row r="177" spans="1:11" x14ac:dyDescent="0.25">
      <c r="A177" s="49"/>
      <c r="B177" s="51"/>
      <c r="C177" s="51"/>
      <c r="D177" s="51"/>
      <c r="E177" s="51"/>
      <c r="F177" s="51"/>
      <c r="G177" s="51"/>
      <c r="H177" s="51"/>
    </row>
    <row r="178" spans="1:11" x14ac:dyDescent="0.25">
      <c r="A178" s="33" t="s">
        <v>3420</v>
      </c>
      <c r="B178" s="51">
        <v>5143819</v>
      </c>
      <c r="C178" s="51">
        <v>4231090</v>
      </c>
      <c r="D178" s="51">
        <v>3891837</v>
      </c>
      <c r="E178" s="51">
        <v>30472794</v>
      </c>
      <c r="F178" s="51">
        <v>0</v>
      </c>
      <c r="G178" s="51">
        <v>30472794</v>
      </c>
      <c r="H178" s="51"/>
      <c r="I178" s="51">
        <v>0</v>
      </c>
      <c r="J178" s="51">
        <f>F196</f>
        <v>-5836259.6299999999</v>
      </c>
      <c r="K178" s="52">
        <f>G196</f>
        <v>23430294</v>
      </c>
    </row>
    <row r="179" spans="1:11" x14ac:dyDescent="0.25">
      <c r="A179" s="61"/>
      <c r="B179" s="51"/>
      <c r="C179" s="51"/>
      <c r="D179" s="51"/>
      <c r="E179" s="51"/>
      <c r="F179" s="51"/>
      <c r="G179" s="51"/>
      <c r="H179" s="51"/>
    </row>
    <row r="180" spans="1:11" x14ac:dyDescent="0.25">
      <c r="A180" s="61" t="s">
        <v>3501</v>
      </c>
      <c r="B180" s="51">
        <v>0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/>
      <c r="I180" s="51">
        <v>0</v>
      </c>
      <c r="J180" s="51">
        <f t="shared" ref="J180:K190" si="25">H180+I180</f>
        <v>0</v>
      </c>
      <c r="K180" s="52">
        <f t="shared" si="25"/>
        <v>0</v>
      </c>
    </row>
    <row r="181" spans="1:11" x14ac:dyDescent="0.25">
      <c r="A181" s="61" t="s">
        <v>3502</v>
      </c>
      <c r="B181" s="51">
        <f>'CIP Fund'!C44-('CIP Fund'!C39+'CIP Fund'!C38+'CIP Fund'!C34+'CIP Fund'!C32)</f>
        <v>20644</v>
      </c>
      <c r="C181" s="51">
        <f>'CIP Fund'!D44-('CIP Fund'!D39+'CIP Fund'!D38+'CIP Fund'!D34+'CIP Fund'!D32)</f>
        <v>57225</v>
      </c>
      <c r="D181" s="51">
        <f>'CIP Fund'!E44-('CIP Fund'!E39+'CIP Fund'!E38+'CIP Fund'!E34+'CIP Fund'!E32)</f>
        <v>26866328</v>
      </c>
      <c r="E181" s="51">
        <f>'CIP Fund'!F44-('CIP Fund'!F39+'CIP Fund'!F38+'CIP Fund'!F34+'CIP Fund'!F32)</f>
        <v>0</v>
      </c>
      <c r="F181" s="51">
        <f>'CIP Fund'!G44-('CIP Fund'!G39+'CIP Fund'!G38+'CIP Fund'!G34+'CIP Fund'!G32)</f>
        <v>873352.47</v>
      </c>
      <c r="G181" s="51">
        <f>'CIP Fund'!H44-('CIP Fund'!H39+'CIP Fund'!H38+'CIP Fund'!H34+'CIP Fund'!H32)</f>
        <v>1000000</v>
      </c>
      <c r="H181" s="51"/>
      <c r="I181" s="51">
        <f>'CIP Fund'!J44-('CIP Fund'!J39+'CIP Fund'!J38+'CIP Fund'!J34+'CIP Fund'!J32)</f>
        <v>0</v>
      </c>
      <c r="J181" s="51">
        <f>'CIP Fund'!K44-('CIP Fund'!K39+'CIP Fund'!K38+'CIP Fund'!K34+'CIP Fund'!K32)</f>
        <v>0</v>
      </c>
      <c r="K181" s="51">
        <f>'CIP Fund'!L44-('CIP Fund'!L39+'CIP Fund'!L38+'CIP Fund'!L34+'CIP Fund'!L32)</f>
        <v>0</v>
      </c>
    </row>
    <row r="182" spans="1:11" x14ac:dyDescent="0.25">
      <c r="A182" s="61" t="s">
        <v>3503</v>
      </c>
      <c r="B182" s="51">
        <v>0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/>
      <c r="I182" s="51">
        <v>0</v>
      </c>
      <c r="J182" s="51">
        <f t="shared" si="25"/>
        <v>0</v>
      </c>
      <c r="K182" s="52">
        <f t="shared" si="25"/>
        <v>0</v>
      </c>
    </row>
    <row r="183" spans="1:11" x14ac:dyDescent="0.25">
      <c r="A183" s="61" t="s">
        <v>3504</v>
      </c>
      <c r="B183" s="51">
        <f>'CIP Fund'!C32</f>
        <v>9500</v>
      </c>
      <c r="C183" s="51">
        <f>'CIP Fund'!D32</f>
        <v>0</v>
      </c>
      <c r="D183" s="51">
        <f>'CIP Fund'!E32</f>
        <v>0</v>
      </c>
      <c r="E183" s="51">
        <f>'CIP Fund'!F32</f>
        <v>0</v>
      </c>
      <c r="F183" s="51">
        <f>'CIP Fund'!G32</f>
        <v>0</v>
      </c>
      <c r="G183" s="51">
        <f>'CIP Fund'!H32</f>
        <v>0</v>
      </c>
      <c r="H183" s="51"/>
      <c r="I183" s="51">
        <f>'CIP Fund'!J32</f>
        <v>0</v>
      </c>
      <c r="J183" s="51">
        <f>'CIP Fund'!K32</f>
        <v>0</v>
      </c>
      <c r="K183" s="51">
        <f>'CIP Fund'!L32</f>
        <v>0</v>
      </c>
    </row>
    <row r="184" spans="1:11" x14ac:dyDescent="0.25">
      <c r="A184" s="61" t="s">
        <v>3505</v>
      </c>
      <c r="B184" s="51">
        <f>'CIP Fund'!C34</f>
        <v>9500</v>
      </c>
      <c r="C184" s="51">
        <f>'CIP Fund'!D34</f>
        <v>0</v>
      </c>
      <c r="D184" s="51">
        <f>'CIP Fund'!E34</f>
        <v>0</v>
      </c>
      <c r="E184" s="51">
        <f>'CIP Fund'!F34</f>
        <v>0</v>
      </c>
      <c r="F184" s="51">
        <f>'CIP Fund'!G34</f>
        <v>0</v>
      </c>
      <c r="G184" s="51">
        <f>'CIP Fund'!H34</f>
        <v>0</v>
      </c>
      <c r="H184" s="51"/>
      <c r="I184" s="51">
        <f>'CIP Fund'!J34</f>
        <v>0</v>
      </c>
      <c r="J184" s="51">
        <f>'CIP Fund'!K34</f>
        <v>0</v>
      </c>
      <c r="K184" s="51">
        <f>'CIP Fund'!L34</f>
        <v>0</v>
      </c>
    </row>
    <row r="185" spans="1:11" x14ac:dyDescent="0.25">
      <c r="A185" s="61" t="s">
        <v>3506</v>
      </c>
      <c r="B185" s="51">
        <v>0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/>
      <c r="I185" s="51">
        <v>0</v>
      </c>
      <c r="J185" s="51">
        <f t="shared" si="25"/>
        <v>0</v>
      </c>
      <c r="K185" s="52">
        <f t="shared" si="25"/>
        <v>0</v>
      </c>
    </row>
    <row r="186" spans="1:11" x14ac:dyDescent="0.25">
      <c r="A186" s="61" t="s">
        <v>3507</v>
      </c>
      <c r="B186" s="51">
        <f>'CIP Fund'!C38</f>
        <v>407000</v>
      </c>
      <c r="C186" s="51">
        <f>'CIP Fund'!D38</f>
        <v>0</v>
      </c>
      <c r="D186" s="51">
        <f>'CIP Fund'!E38</f>
        <v>0</v>
      </c>
      <c r="E186" s="51">
        <f>'CIP Fund'!F38</f>
        <v>0</v>
      </c>
      <c r="F186" s="51">
        <f>'CIP Fund'!G38</f>
        <v>0</v>
      </c>
      <c r="G186" s="51">
        <f>'CIP Fund'!H38</f>
        <v>0</v>
      </c>
      <c r="H186" s="51"/>
      <c r="I186" s="51">
        <f>'CIP Fund'!J38</f>
        <v>0</v>
      </c>
      <c r="J186" s="51">
        <f>'CIP Fund'!K38</f>
        <v>0</v>
      </c>
      <c r="K186" s="51">
        <f>'CIP Fund'!L38</f>
        <v>0</v>
      </c>
    </row>
    <row r="187" spans="1:11" x14ac:dyDescent="0.25">
      <c r="A187" s="61" t="s">
        <v>3508</v>
      </c>
      <c r="B187" s="51">
        <f>'CIP Fund'!C39</f>
        <v>217000</v>
      </c>
      <c r="C187" s="51">
        <f>'CIP Fund'!D39</f>
        <v>0</v>
      </c>
      <c r="D187" s="51">
        <f>'CIP Fund'!E39</f>
        <v>0</v>
      </c>
      <c r="E187" s="51">
        <f>'CIP Fund'!F39</f>
        <v>0</v>
      </c>
      <c r="F187" s="51">
        <f>'CIP Fund'!G39</f>
        <v>0</v>
      </c>
      <c r="G187" s="51">
        <f>'CIP Fund'!H39</f>
        <v>0</v>
      </c>
      <c r="H187" s="51"/>
      <c r="I187" s="51">
        <f>'CIP Fund'!J39</f>
        <v>0</v>
      </c>
      <c r="J187" s="51">
        <f>'CIP Fund'!K39</f>
        <v>0</v>
      </c>
      <c r="K187" s="51">
        <f>'CIP Fund'!L39</f>
        <v>0</v>
      </c>
    </row>
    <row r="188" spans="1:11" x14ac:dyDescent="0.25">
      <c r="A188" s="61" t="s">
        <v>3509</v>
      </c>
      <c r="B188" s="51">
        <v>0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/>
      <c r="I188" s="51">
        <v>9552500</v>
      </c>
      <c r="J188" s="51">
        <v>0</v>
      </c>
      <c r="K188" s="52">
        <f t="shared" si="25"/>
        <v>9552500</v>
      </c>
    </row>
    <row r="189" spans="1:11" x14ac:dyDescent="0.25">
      <c r="A189" s="33" t="s">
        <v>3457</v>
      </c>
      <c r="B189" s="51">
        <f>'CIP Fund'!C93</f>
        <v>1576407</v>
      </c>
      <c r="C189" s="51">
        <f>'CIP Fund'!D93</f>
        <v>396478</v>
      </c>
      <c r="D189" s="51">
        <f>'CIP Fund'!E93</f>
        <v>285371</v>
      </c>
      <c r="E189" s="51">
        <f>'CIP Fund'!F93</f>
        <v>8100000</v>
      </c>
      <c r="F189" s="51">
        <f>'CIP Fund'!G93</f>
        <v>6709612.0999999996</v>
      </c>
      <c r="G189" s="51">
        <f>'CIP Fund'!H93</f>
        <v>8042500</v>
      </c>
      <c r="H189" s="51"/>
      <c r="I189" s="51">
        <f>'CIP Fund'!J93</f>
        <v>9552500</v>
      </c>
      <c r="J189" s="51">
        <f>'CIP Fund'!K93</f>
        <v>0</v>
      </c>
      <c r="K189" s="51">
        <f>'CIP Fund'!L93</f>
        <v>9552500</v>
      </c>
    </row>
    <row r="190" spans="1:11" x14ac:dyDescent="0.25">
      <c r="A190" s="61" t="s">
        <v>3510</v>
      </c>
      <c r="B190" s="51">
        <v>0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/>
      <c r="I190" s="48">
        <v>0</v>
      </c>
      <c r="J190" s="51">
        <f t="shared" si="25"/>
        <v>0</v>
      </c>
      <c r="K190" s="52">
        <f t="shared" si="25"/>
        <v>0</v>
      </c>
    </row>
    <row r="191" spans="1:11" x14ac:dyDescent="0.25">
      <c r="A191" s="61"/>
      <c r="B191" s="51"/>
      <c r="C191" s="51"/>
      <c r="D191" s="51"/>
      <c r="E191" s="51"/>
      <c r="F191" s="51"/>
      <c r="G191" s="51"/>
      <c r="H191" s="51"/>
    </row>
    <row r="192" spans="1:11" x14ac:dyDescent="0.25">
      <c r="A192" s="61" t="s">
        <v>3452</v>
      </c>
      <c r="B192" s="51">
        <f t="shared" ref="B192:K192" si="26">B180+B181-B189-B190+B188+B182+B183+B184+B186+B185+B187</f>
        <v>-912763</v>
      </c>
      <c r="C192" s="51">
        <f t="shared" si="26"/>
        <v>-339253</v>
      </c>
      <c r="D192" s="51">
        <f t="shared" si="26"/>
        <v>26580957</v>
      </c>
      <c r="E192" s="51">
        <f t="shared" si="26"/>
        <v>-8100000</v>
      </c>
      <c r="F192" s="51">
        <f t="shared" si="26"/>
        <v>-5836259.6299999999</v>
      </c>
      <c r="G192" s="51">
        <f t="shared" si="26"/>
        <v>-7042500</v>
      </c>
      <c r="H192" s="51"/>
      <c r="I192" s="51">
        <f t="shared" si="26"/>
        <v>0</v>
      </c>
      <c r="J192" s="51">
        <f t="shared" si="26"/>
        <v>0</v>
      </c>
      <c r="K192" s="51">
        <f t="shared" si="26"/>
        <v>0</v>
      </c>
    </row>
    <row r="193" spans="1:11" x14ac:dyDescent="0.25">
      <c r="A193" s="61"/>
      <c r="B193" s="51"/>
      <c r="C193" s="51"/>
      <c r="D193" s="51"/>
      <c r="E193" s="51"/>
      <c r="F193" s="51"/>
      <c r="G193" s="51"/>
      <c r="H193" s="51"/>
      <c r="I193" s="51"/>
      <c r="J193" s="51"/>
    </row>
    <row r="194" spans="1:11" x14ac:dyDescent="0.25">
      <c r="A194" s="62" t="s">
        <v>3453</v>
      </c>
      <c r="B194" s="57">
        <v>-2513249</v>
      </c>
      <c r="C194" s="57">
        <v>573476</v>
      </c>
      <c r="D194" s="57">
        <v>26580957</v>
      </c>
      <c r="E194" s="51">
        <v>0</v>
      </c>
      <c r="F194" s="51">
        <v>0</v>
      </c>
      <c r="G194" s="51"/>
      <c r="H194" s="51"/>
      <c r="I194" s="51">
        <v>0</v>
      </c>
      <c r="J194" s="51">
        <v>0</v>
      </c>
      <c r="K194" s="52">
        <f>I194+J194</f>
        <v>0</v>
      </c>
    </row>
    <row r="195" spans="1:11" x14ac:dyDescent="0.25">
      <c r="A195" s="61"/>
      <c r="B195" s="51"/>
      <c r="C195" s="51"/>
      <c r="D195" s="51"/>
      <c r="E195" s="51"/>
      <c r="F195" s="51"/>
      <c r="G195" s="51"/>
      <c r="H195" s="51"/>
    </row>
    <row r="196" spans="1:11" x14ac:dyDescent="0.25">
      <c r="A196" s="33" t="s">
        <v>3454</v>
      </c>
      <c r="B196" s="51">
        <f t="shared" ref="B196:G196" si="27">+B178+B180+B181+B188-B189+B182+B183+B184+B186+B185-B190+B187+B194</f>
        <v>1717807</v>
      </c>
      <c r="C196" s="51">
        <f t="shared" si="27"/>
        <v>4465313</v>
      </c>
      <c r="D196" s="51">
        <f t="shared" si="27"/>
        <v>57053751</v>
      </c>
      <c r="E196" s="51">
        <f t="shared" si="27"/>
        <v>22372794</v>
      </c>
      <c r="F196" s="51">
        <f t="shared" si="27"/>
        <v>-5836259.6299999999</v>
      </c>
      <c r="G196" s="51">
        <f t="shared" si="27"/>
        <v>23430294</v>
      </c>
      <c r="H196" s="51"/>
      <c r="I196" s="51">
        <f>+I178+I180+I181+I188-I189+I182+I183+I184+I186+I185-I190+I187+I194</f>
        <v>0</v>
      </c>
      <c r="J196" s="51">
        <f>+J178+J180+J181+J188-J189+J182+J183+J184+J186+J185-J190+J187+J194</f>
        <v>-5836259.6299999999</v>
      </c>
      <c r="K196" s="51">
        <f>+K178+K180+K181+K188-K189+K182+K183+K184+K186+K185-K190+K187+K194</f>
        <v>23430294</v>
      </c>
    </row>
    <row r="197" spans="1:11" x14ac:dyDescent="0.25">
      <c r="B197" s="51"/>
      <c r="C197" s="51"/>
      <c r="D197" s="51"/>
      <c r="E197" s="51"/>
      <c r="F197" s="51"/>
      <c r="G197" s="51"/>
      <c r="H197" s="51"/>
    </row>
    <row r="198" spans="1:11" x14ac:dyDescent="0.25">
      <c r="B198" s="51"/>
      <c r="C198" s="51"/>
      <c r="D198" s="51"/>
      <c r="E198" s="51"/>
      <c r="F198" s="51"/>
      <c r="G198" s="51"/>
      <c r="H198" s="51"/>
    </row>
    <row r="199" spans="1:11" x14ac:dyDescent="0.25">
      <c r="A199" s="49" t="s">
        <v>3511</v>
      </c>
      <c r="B199" s="51"/>
      <c r="C199" s="51"/>
      <c r="D199" s="51"/>
      <c r="E199" s="51"/>
      <c r="F199" s="51"/>
      <c r="G199" s="51"/>
      <c r="H199" s="51"/>
    </row>
    <row r="200" spans="1:11" x14ac:dyDescent="0.25">
      <c r="A200" s="49"/>
      <c r="B200" s="51"/>
      <c r="C200" s="51"/>
      <c r="D200" s="51"/>
      <c r="E200" s="51"/>
      <c r="F200" s="51"/>
      <c r="G200" s="51"/>
      <c r="H200" s="51"/>
    </row>
    <row r="201" spans="1:11" x14ac:dyDescent="0.25">
      <c r="A201" s="33" t="s">
        <v>3420</v>
      </c>
      <c r="B201" s="51">
        <v>7518078</v>
      </c>
      <c r="C201" s="51">
        <v>6930793</v>
      </c>
      <c r="D201" s="51">
        <v>8528568.4100000001</v>
      </c>
      <c r="E201" s="51">
        <v>9671250.4800000004</v>
      </c>
      <c r="F201" s="51"/>
      <c r="G201" s="51">
        <v>9671250.4800000004</v>
      </c>
      <c r="H201" s="51"/>
      <c r="I201" s="51">
        <v>0</v>
      </c>
      <c r="J201" s="51"/>
      <c r="K201" s="52">
        <f>G221</f>
        <v>0</v>
      </c>
    </row>
    <row r="202" spans="1:11" x14ac:dyDescent="0.25">
      <c r="B202" s="51"/>
      <c r="C202" s="51"/>
      <c r="D202" s="51"/>
      <c r="E202" s="51"/>
      <c r="F202" s="51"/>
      <c r="G202" s="51"/>
      <c r="H202" s="51"/>
    </row>
    <row r="203" spans="1:11" x14ac:dyDescent="0.25">
      <c r="A203" s="33" t="s">
        <v>3512</v>
      </c>
      <c r="B203" s="51"/>
      <c r="C203" s="51"/>
      <c r="D203" s="51"/>
      <c r="E203" s="51"/>
      <c r="F203" s="51"/>
      <c r="G203" s="51"/>
      <c r="H203" s="51"/>
    </row>
    <row r="204" spans="1:11" x14ac:dyDescent="0.25">
      <c r="A204" s="33" t="s">
        <v>3513</v>
      </c>
      <c r="B204" s="51">
        <f>'Impact Fee Fund'!C23</f>
        <v>1255284</v>
      </c>
      <c r="C204" s="51">
        <f>'Impact Fee Fund'!D23</f>
        <v>666434</v>
      </c>
      <c r="D204" s="51">
        <f>'Impact Fee Fund'!E23</f>
        <v>487554</v>
      </c>
      <c r="E204" s="51">
        <f>'Impact Fee Fund'!F23</f>
        <v>353203</v>
      </c>
      <c r="F204" s="51">
        <f>'Impact Fee Fund'!G23</f>
        <v>271908</v>
      </c>
      <c r="G204" s="51">
        <f>'Impact Fee Fund'!H23</f>
        <v>352000</v>
      </c>
      <c r="H204" s="51"/>
      <c r="I204" s="51">
        <f>'Impact Fee Fund'!J23</f>
        <v>345000</v>
      </c>
      <c r="J204" s="51">
        <f>'Impact Fee Fund'!K23</f>
        <v>0</v>
      </c>
      <c r="K204" s="51">
        <f>'Impact Fee Fund'!L23</f>
        <v>345000</v>
      </c>
    </row>
    <row r="205" spans="1:11" x14ac:dyDescent="0.25">
      <c r="A205" s="33" t="s">
        <v>3514</v>
      </c>
      <c r="B205" s="51">
        <f>'Impact Fee Fund'!C32</f>
        <v>968325</v>
      </c>
      <c r="C205" s="51">
        <f>'Impact Fee Fund'!D32</f>
        <v>584700</v>
      </c>
      <c r="D205" s="51">
        <f>'Impact Fee Fund'!E32</f>
        <v>404100</v>
      </c>
      <c r="E205" s="51">
        <f>'Impact Fee Fund'!F32</f>
        <v>308470</v>
      </c>
      <c r="F205" s="51">
        <f>'Impact Fee Fund'!G32</f>
        <v>242180</v>
      </c>
      <c r="G205" s="51">
        <f>'Impact Fee Fund'!H32</f>
        <v>319000</v>
      </c>
      <c r="H205" s="51"/>
      <c r="I205" s="51">
        <f>'Impact Fee Fund'!J32</f>
        <v>295000</v>
      </c>
      <c r="J205" s="51">
        <f>'Impact Fee Fund'!K32</f>
        <v>0</v>
      </c>
      <c r="K205" s="51">
        <f>'Impact Fee Fund'!L32</f>
        <v>295000</v>
      </c>
    </row>
    <row r="206" spans="1:11" x14ac:dyDescent="0.25">
      <c r="A206" s="33" t="s">
        <v>3515</v>
      </c>
      <c r="B206" s="51">
        <f>'Impact Fee Fund'!C14</f>
        <v>78201</v>
      </c>
      <c r="C206" s="51">
        <f>'Impact Fee Fund'!D14</f>
        <v>369812</v>
      </c>
      <c r="D206" s="51">
        <f>'Impact Fee Fund'!E14</f>
        <v>494705</v>
      </c>
      <c r="E206" s="51">
        <f>'Impact Fee Fund'!F14</f>
        <v>366083</v>
      </c>
      <c r="F206" s="51">
        <f>'Impact Fee Fund'!G14</f>
        <v>345008.36</v>
      </c>
      <c r="G206" s="51">
        <f>'Impact Fee Fund'!H14</f>
        <v>430000</v>
      </c>
      <c r="H206" s="51"/>
      <c r="I206" s="51">
        <f>'Impact Fee Fund'!J14</f>
        <v>415000</v>
      </c>
      <c r="J206" s="51">
        <f>'Impact Fee Fund'!K14</f>
        <v>0</v>
      </c>
      <c r="K206" s="51">
        <f>'Impact Fee Fund'!L14</f>
        <v>415000</v>
      </c>
    </row>
    <row r="207" spans="1:11" x14ac:dyDescent="0.25">
      <c r="A207" s="33" t="s">
        <v>3516</v>
      </c>
      <c r="B207" s="51">
        <f>'Impact Fee Fund'!C19</f>
        <v>0</v>
      </c>
      <c r="C207" s="51">
        <f>'Impact Fee Fund'!D19</f>
        <v>0</v>
      </c>
      <c r="D207" s="51">
        <f>'Impact Fee Fund'!E19</f>
        <v>0</v>
      </c>
      <c r="E207" s="51">
        <f>'Impact Fee Fund'!F19</f>
        <v>0</v>
      </c>
      <c r="F207" s="51">
        <f>'Impact Fee Fund'!G19</f>
        <v>0</v>
      </c>
      <c r="G207" s="51">
        <f>'Impact Fee Fund'!H19</f>
        <v>0</v>
      </c>
      <c r="H207" s="51"/>
      <c r="I207" s="51">
        <f>'Impact Fee Fund'!J19</f>
        <v>0</v>
      </c>
      <c r="J207" s="51">
        <f>'Impact Fee Fund'!K19</f>
        <v>0</v>
      </c>
      <c r="K207" s="51">
        <f>'Impact Fee Fund'!L19</f>
        <v>0</v>
      </c>
    </row>
    <row r="208" spans="1:11" x14ac:dyDescent="0.25">
      <c r="A208" s="33" t="s">
        <v>3517</v>
      </c>
      <c r="B208" s="51">
        <f>'Impact Fee Fund'!C28</f>
        <v>0</v>
      </c>
      <c r="C208" s="51">
        <f>'Impact Fee Fund'!D28</f>
        <v>0</v>
      </c>
      <c r="D208" s="51">
        <f>'Impact Fee Fund'!E28</f>
        <v>0</v>
      </c>
      <c r="E208" s="51">
        <f>'Impact Fee Fund'!F28</f>
        <v>0</v>
      </c>
      <c r="F208" s="51">
        <f>'Impact Fee Fund'!G28</f>
        <v>0</v>
      </c>
      <c r="G208" s="51">
        <f>'Impact Fee Fund'!H28</f>
        <v>0</v>
      </c>
      <c r="H208" s="51"/>
      <c r="I208" s="51">
        <f>'Impact Fee Fund'!J28</f>
        <v>0</v>
      </c>
      <c r="J208" s="51">
        <f>'Impact Fee Fund'!K28</f>
        <v>0</v>
      </c>
      <c r="K208" s="51">
        <f>'Impact Fee Fund'!L28</f>
        <v>0</v>
      </c>
    </row>
    <row r="209" spans="1:11" x14ac:dyDescent="0.25">
      <c r="A209" s="33" t="s">
        <v>3518</v>
      </c>
      <c r="B209" s="51">
        <v>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/>
      <c r="I209" s="48">
        <v>0</v>
      </c>
      <c r="J209" s="51">
        <v>0</v>
      </c>
      <c r="K209" s="63">
        <f>I209+J209</f>
        <v>0</v>
      </c>
    </row>
    <row r="210" spans="1:11" x14ac:dyDescent="0.25">
      <c r="A210" s="33" t="s">
        <v>3519</v>
      </c>
      <c r="B210" s="51">
        <v>0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/>
      <c r="I210" s="48">
        <v>0</v>
      </c>
      <c r="J210" s="51">
        <v>0</v>
      </c>
      <c r="K210" s="63">
        <f>I210+J210</f>
        <v>0</v>
      </c>
    </row>
    <row r="211" spans="1:11" x14ac:dyDescent="0.25">
      <c r="A211" s="33" t="s">
        <v>3520</v>
      </c>
      <c r="B211" s="51">
        <v>0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/>
      <c r="I211" s="48">
        <v>0</v>
      </c>
      <c r="J211" s="51">
        <v>0</v>
      </c>
      <c r="K211" s="63">
        <f>I211+J211</f>
        <v>0</v>
      </c>
    </row>
    <row r="212" spans="1:11" x14ac:dyDescent="0.25">
      <c r="A212" s="33" t="s">
        <v>3446</v>
      </c>
      <c r="B212" s="51">
        <v>0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/>
      <c r="I212" s="48">
        <v>0</v>
      </c>
      <c r="J212" s="51">
        <v>0</v>
      </c>
      <c r="K212" s="63">
        <f>I212+J212</f>
        <v>0</v>
      </c>
    </row>
    <row r="213" spans="1:11" x14ac:dyDescent="0.25">
      <c r="A213" s="33" t="s">
        <v>3519</v>
      </c>
      <c r="B213" s="51">
        <f>'Impact Fee Fund'!C70</f>
        <v>1686500</v>
      </c>
      <c r="C213" s="51">
        <f>'Impact Fee Fund'!D70</f>
        <v>0</v>
      </c>
      <c r="D213" s="51">
        <f>'Impact Fee Fund'!E70</f>
        <v>0</v>
      </c>
      <c r="E213" s="51">
        <f>'Impact Fee Fund'!F70</f>
        <v>0</v>
      </c>
      <c r="F213" s="51">
        <f>'Impact Fee Fund'!G70</f>
        <v>0</v>
      </c>
      <c r="G213" s="51">
        <f>'Impact Fee Fund'!H70</f>
        <v>0</v>
      </c>
      <c r="H213" s="51"/>
      <c r="I213" s="51">
        <f>'Impact Fee Fund'!J70</f>
        <v>3000000</v>
      </c>
      <c r="J213" s="51">
        <f>'Impact Fee Fund'!K70</f>
        <v>0</v>
      </c>
      <c r="K213" s="51">
        <f>'Impact Fee Fund'!L70</f>
        <v>3000000</v>
      </c>
    </row>
    <row r="214" spans="1:11" x14ac:dyDescent="0.25">
      <c r="A214" s="33" t="s">
        <v>3520</v>
      </c>
      <c r="B214" s="51">
        <f>'Impact Fee Fund'!C94</f>
        <v>9500</v>
      </c>
      <c r="C214" s="51">
        <f>'Impact Fee Fund'!D94</f>
        <v>0</v>
      </c>
      <c r="D214" s="51">
        <f>'Impact Fee Fund'!E94</f>
        <v>0</v>
      </c>
      <c r="E214" s="51">
        <f>'Impact Fee Fund'!F94</f>
        <v>0</v>
      </c>
      <c r="F214" s="51">
        <f>'Impact Fee Fund'!G94</f>
        <v>0</v>
      </c>
      <c r="G214" s="51">
        <f>'Impact Fee Fund'!H94</f>
        <v>0</v>
      </c>
      <c r="H214" s="51"/>
      <c r="I214" s="51">
        <f>'Impact Fee Fund'!J94</f>
        <v>0</v>
      </c>
      <c r="J214" s="51">
        <f>'Impact Fee Fund'!K94</f>
        <v>0</v>
      </c>
      <c r="K214" s="51">
        <f>'Impact Fee Fund'!L94</f>
        <v>0</v>
      </c>
    </row>
    <row r="215" spans="1:11" x14ac:dyDescent="0.25">
      <c r="A215" s="33" t="s">
        <v>3457</v>
      </c>
      <c r="B215" s="51">
        <f>('Impact Fee Fund'!C117)-('Impact Fee Fund'!C94+'Impact Fee Fund'!C70)</f>
        <v>1179821</v>
      </c>
      <c r="C215" s="51">
        <f>('Impact Fee Fund'!D117)-('Impact Fee Fund'!D94+'Impact Fee Fund'!D70)</f>
        <v>80000</v>
      </c>
      <c r="D215" s="51">
        <f>('Impact Fee Fund'!E117)-('Impact Fee Fund'!E94+'Impact Fee Fund'!E70)</f>
        <v>80000</v>
      </c>
      <c r="E215" s="51">
        <f>('Impact Fee Fund'!F117)-('Impact Fee Fund'!F94+'Impact Fee Fund'!F70)</f>
        <v>80000</v>
      </c>
      <c r="F215" s="51">
        <f>('Impact Fee Fund'!G117)-('Impact Fee Fund'!G94+'Impact Fee Fund'!G70)</f>
        <v>80000</v>
      </c>
      <c r="G215" s="51">
        <f>('Impact Fee Fund'!H117)-('Impact Fee Fund'!H94+'Impact Fee Fund'!H70)</f>
        <v>80000</v>
      </c>
      <c r="H215" s="51"/>
      <c r="I215" s="51">
        <f>('Impact Fee Fund'!J117)-('Impact Fee Fund'!J94+'Impact Fee Fund'!J70)</f>
        <v>80000</v>
      </c>
      <c r="J215" s="51">
        <f>('Impact Fee Fund'!K117)-('Impact Fee Fund'!K94+'Impact Fee Fund'!K70)</f>
        <v>0</v>
      </c>
      <c r="K215" s="51">
        <f>('Impact Fee Fund'!L117)-('Impact Fee Fund'!L94+'Impact Fee Fund'!L70)</f>
        <v>80000</v>
      </c>
    </row>
    <row r="216" spans="1:11" x14ac:dyDescent="0.25">
      <c r="B216" s="51"/>
      <c r="C216" s="51"/>
      <c r="D216" s="51"/>
      <c r="E216" s="51"/>
      <c r="F216" s="51"/>
      <c r="G216" s="51"/>
      <c r="H216" s="51"/>
    </row>
    <row r="217" spans="1:11" x14ac:dyDescent="0.25">
      <c r="A217" s="33" t="s">
        <v>3452</v>
      </c>
      <c r="B217" s="51">
        <f t="shared" ref="B217:G217" si="28">B204+B205+B206-B213-B214-B215</f>
        <v>-574011</v>
      </c>
      <c r="C217" s="51">
        <f t="shared" si="28"/>
        <v>1540946</v>
      </c>
      <c r="D217" s="51">
        <f t="shared" si="28"/>
        <v>1306359</v>
      </c>
      <c r="E217" s="51">
        <f t="shared" si="28"/>
        <v>947756</v>
      </c>
      <c r="F217" s="51">
        <f t="shared" si="28"/>
        <v>779096.36</v>
      </c>
      <c r="G217" s="51">
        <f t="shared" si="28"/>
        <v>1021000</v>
      </c>
      <c r="H217" s="51"/>
      <c r="I217" s="51">
        <f>I204+I205+I206-I213-I214-I215</f>
        <v>-2025000</v>
      </c>
      <c r="J217" s="51">
        <f>J204+J205+J206-J213-J214-J215</f>
        <v>0</v>
      </c>
      <c r="K217" s="51">
        <f>K204+K205+K206-K213-K214-K215</f>
        <v>-2025000</v>
      </c>
    </row>
    <row r="218" spans="1:11" x14ac:dyDescent="0.25">
      <c r="B218" s="51"/>
      <c r="C218" s="51"/>
      <c r="D218" s="51"/>
      <c r="E218" s="51"/>
      <c r="F218" s="51"/>
      <c r="G218" s="51"/>
      <c r="H218" s="51"/>
      <c r="I218" s="51"/>
      <c r="J218" s="51"/>
    </row>
    <row r="219" spans="1:11" x14ac:dyDescent="0.25">
      <c r="A219" s="55" t="s">
        <v>3453</v>
      </c>
      <c r="B219" s="51">
        <v>-13274</v>
      </c>
      <c r="C219" s="51">
        <v>56829</v>
      </c>
      <c r="D219" s="51">
        <v>-163677</v>
      </c>
      <c r="E219" s="51">
        <v>0</v>
      </c>
      <c r="F219" s="51">
        <v>0</v>
      </c>
      <c r="G219" s="51"/>
      <c r="H219" s="51"/>
      <c r="I219" s="51">
        <v>0</v>
      </c>
      <c r="J219" s="51">
        <v>0</v>
      </c>
      <c r="K219" s="52">
        <f>I219+J219</f>
        <v>0</v>
      </c>
    </row>
    <row r="220" spans="1:11" x14ac:dyDescent="0.25">
      <c r="B220" s="51"/>
      <c r="C220" s="51"/>
      <c r="D220" s="51"/>
      <c r="E220" s="51"/>
      <c r="F220" s="51"/>
      <c r="G220" s="51"/>
      <c r="H220" s="51"/>
    </row>
    <row r="221" spans="1:11" x14ac:dyDescent="0.25">
      <c r="A221" s="33" t="s">
        <v>3454</v>
      </c>
      <c r="B221" s="51">
        <f t="shared" ref="B221:F221" si="29">+B201+B204+B205+B206-B209-B213-B214-B215+B219+B207+B208</f>
        <v>6930793</v>
      </c>
      <c r="C221" s="51">
        <f t="shared" si="29"/>
        <v>8528568</v>
      </c>
      <c r="D221" s="51">
        <f t="shared" si="29"/>
        <v>9671250.4100000001</v>
      </c>
      <c r="E221" s="51">
        <f t="shared" si="29"/>
        <v>10619006.48</v>
      </c>
      <c r="F221" s="51">
        <f t="shared" si="29"/>
        <v>779096.36</v>
      </c>
      <c r="G221" s="51"/>
      <c r="H221" s="51"/>
      <c r="I221" s="51">
        <f>+I201+I204+I205+I206-I209-I213-I214-I215+I219+I207+I208</f>
        <v>-2025000</v>
      </c>
      <c r="J221" s="51">
        <f>+J201+J204+J205+J206-J209-J213-J214-J215+J219+J207+J208</f>
        <v>0</v>
      </c>
    </row>
    <row r="222" spans="1:11" x14ac:dyDescent="0.25">
      <c r="B222" s="51"/>
      <c r="C222" s="51"/>
      <c r="D222" s="51"/>
      <c r="E222" s="51"/>
      <c r="F222" s="51"/>
      <c r="G222" s="51"/>
      <c r="H222" s="51"/>
    </row>
    <row r="223" spans="1:11" x14ac:dyDescent="0.25">
      <c r="B223" s="51"/>
      <c r="C223" s="51"/>
      <c r="D223" s="51"/>
      <c r="E223" s="51"/>
      <c r="F223" s="51"/>
      <c r="G223" s="51"/>
      <c r="H223" s="51"/>
    </row>
    <row r="224" spans="1:11" x14ac:dyDescent="0.25">
      <c r="A224" s="60" t="s">
        <v>3521</v>
      </c>
      <c r="B224" s="51"/>
      <c r="C224" s="51"/>
      <c r="D224" s="51"/>
      <c r="E224" s="51"/>
      <c r="F224" s="51"/>
      <c r="G224" s="51"/>
      <c r="H224" s="51"/>
    </row>
    <row r="225" spans="1:11" x14ac:dyDescent="0.25">
      <c r="A225" s="49"/>
      <c r="B225" s="51"/>
      <c r="C225" s="51"/>
      <c r="D225" s="51"/>
      <c r="E225" s="51"/>
      <c r="F225" s="51"/>
      <c r="G225" s="51"/>
      <c r="H225" s="51"/>
    </row>
    <row r="226" spans="1:11" x14ac:dyDescent="0.25">
      <c r="A226" s="33" t="s">
        <v>3420</v>
      </c>
      <c r="B226" s="51">
        <v>437152</v>
      </c>
      <c r="C226" s="51">
        <v>459708</v>
      </c>
      <c r="D226" s="51">
        <v>585610</v>
      </c>
      <c r="E226" s="51">
        <v>692764</v>
      </c>
      <c r="F226" s="51">
        <v>0</v>
      </c>
      <c r="G226" s="51">
        <v>692764</v>
      </c>
      <c r="H226" s="51"/>
      <c r="I226" s="51">
        <v>0</v>
      </c>
      <c r="J226" s="51">
        <v>0</v>
      </c>
      <c r="K226" s="52">
        <f>G246</f>
        <v>683992</v>
      </c>
    </row>
    <row r="227" spans="1:11" x14ac:dyDescent="0.25">
      <c r="B227" s="51"/>
      <c r="C227" s="51"/>
      <c r="D227" s="51"/>
      <c r="E227" s="51"/>
      <c r="F227" s="51"/>
      <c r="G227" s="51"/>
      <c r="H227" s="51"/>
    </row>
    <row r="228" spans="1:11" x14ac:dyDescent="0.25">
      <c r="A228" s="33" t="s">
        <v>3421</v>
      </c>
      <c r="G228" s="51"/>
    </row>
    <row r="229" spans="1:11" x14ac:dyDescent="0.25">
      <c r="A229" s="33" t="s">
        <v>3522</v>
      </c>
      <c r="B229" s="51">
        <f>'Debt Service'!C42</f>
        <v>2695932</v>
      </c>
      <c r="C229" s="51">
        <f>'Debt Service'!D42</f>
        <v>2764673</v>
      </c>
      <c r="D229" s="51">
        <f>'Debt Service'!E42</f>
        <v>2727742</v>
      </c>
      <c r="E229" s="51">
        <f>'Debt Service'!F42</f>
        <v>4493771</v>
      </c>
      <c r="F229" s="51">
        <f>'Debt Service'!G42</f>
        <v>4471029.42</v>
      </c>
      <c r="G229" s="58">
        <f>'Debt Service'!H42</f>
        <v>4450000</v>
      </c>
      <c r="H229" s="51"/>
      <c r="I229" s="51">
        <f>'Debt Service'!J42</f>
        <v>4335281</v>
      </c>
      <c r="J229" s="51">
        <f>'Debt Service'!K42</f>
        <v>0</v>
      </c>
      <c r="K229" s="51">
        <f>'Debt Service'!L42</f>
        <v>4335281</v>
      </c>
    </row>
    <row r="230" spans="1:11" x14ac:dyDescent="0.25">
      <c r="A230" s="33" t="s">
        <v>3523</v>
      </c>
      <c r="B230" s="51">
        <v>0</v>
      </c>
      <c r="C230" s="51">
        <v>0</v>
      </c>
      <c r="D230" s="51">
        <v>0</v>
      </c>
      <c r="E230" s="51">
        <v>0</v>
      </c>
      <c r="F230" s="51">
        <v>0</v>
      </c>
      <c r="G230" s="58">
        <v>0</v>
      </c>
      <c r="H230" s="51"/>
      <c r="I230" s="51">
        <v>0</v>
      </c>
      <c r="J230" s="51">
        <v>0</v>
      </c>
      <c r="K230" s="52">
        <v>0</v>
      </c>
    </row>
    <row r="231" spans="1:11" x14ac:dyDescent="0.25">
      <c r="A231" s="33" t="s">
        <v>3524</v>
      </c>
      <c r="B231" s="51">
        <f>'Debt Service'!C27</f>
        <v>5903</v>
      </c>
      <c r="C231" s="51">
        <f>'Debt Service'!D27</f>
        <v>43585</v>
      </c>
      <c r="D231" s="51">
        <f>'Debt Service'!E27</f>
        <v>68084</v>
      </c>
      <c r="E231" s="51">
        <f>'Debt Service'!F27</f>
        <v>42377</v>
      </c>
      <c r="F231" s="51">
        <f>'Debt Service'!G27</f>
        <v>34742.46</v>
      </c>
      <c r="G231" s="58">
        <f>'Debt Service'!H27</f>
        <v>43000</v>
      </c>
      <c r="H231" s="51"/>
      <c r="I231" s="58">
        <f>'Debt Service'!J27</f>
        <v>40000</v>
      </c>
      <c r="J231" s="51">
        <f>'Debt Service'!K44</f>
        <v>0</v>
      </c>
      <c r="K231" s="51">
        <f>'Debt Service'!L44</f>
        <v>0</v>
      </c>
    </row>
    <row r="232" spans="1:11" x14ac:dyDescent="0.25">
      <c r="A232" s="33" t="s">
        <v>3525</v>
      </c>
      <c r="B232" s="51">
        <v>0</v>
      </c>
      <c r="C232" s="51">
        <v>0</v>
      </c>
      <c r="D232" s="51">
        <v>0</v>
      </c>
      <c r="E232" s="51">
        <v>0</v>
      </c>
      <c r="F232" s="51">
        <v>0</v>
      </c>
      <c r="G232" s="58">
        <v>0</v>
      </c>
      <c r="H232" s="51"/>
      <c r="I232" s="51">
        <v>0</v>
      </c>
      <c r="J232" s="51">
        <v>0</v>
      </c>
      <c r="K232" s="52">
        <v>0</v>
      </c>
    </row>
    <row r="233" spans="1:11" x14ac:dyDescent="0.25">
      <c r="A233" s="33" t="s">
        <v>3526</v>
      </c>
      <c r="B233" s="51">
        <v>0</v>
      </c>
      <c r="C233" s="51">
        <v>0</v>
      </c>
      <c r="D233" s="51">
        <v>0</v>
      </c>
      <c r="E233" s="51">
        <v>0</v>
      </c>
      <c r="F233" s="51">
        <v>0</v>
      </c>
      <c r="G233" s="58">
        <v>0</v>
      </c>
      <c r="H233" s="51"/>
      <c r="I233" s="48">
        <v>0</v>
      </c>
      <c r="J233" s="51">
        <v>0</v>
      </c>
      <c r="K233" s="52">
        <v>0</v>
      </c>
    </row>
    <row r="234" spans="1:11" x14ac:dyDescent="0.25">
      <c r="A234" s="33" t="s">
        <v>3527</v>
      </c>
      <c r="B234" s="51">
        <v>0</v>
      </c>
      <c r="C234" s="51">
        <v>0</v>
      </c>
      <c r="D234" s="51">
        <v>0</v>
      </c>
      <c r="E234" s="51">
        <v>0</v>
      </c>
      <c r="F234" s="51">
        <v>0</v>
      </c>
      <c r="G234" s="58">
        <v>0</v>
      </c>
      <c r="H234" s="51"/>
      <c r="I234" s="48">
        <v>0</v>
      </c>
      <c r="J234" s="51">
        <v>0</v>
      </c>
      <c r="K234" s="52">
        <v>0</v>
      </c>
    </row>
    <row r="235" spans="1:11" x14ac:dyDescent="0.25">
      <c r="A235" s="33" t="s">
        <v>3528</v>
      </c>
      <c r="B235" s="51">
        <v>0</v>
      </c>
      <c r="C235" s="51">
        <v>0</v>
      </c>
      <c r="D235" s="51">
        <v>0</v>
      </c>
      <c r="E235" s="51">
        <v>0</v>
      </c>
      <c r="F235" s="51">
        <v>0</v>
      </c>
      <c r="G235" s="58">
        <v>0</v>
      </c>
      <c r="H235" s="51"/>
      <c r="I235" s="48">
        <v>0</v>
      </c>
      <c r="J235" s="51">
        <v>0</v>
      </c>
      <c r="K235" s="52">
        <v>0</v>
      </c>
    </row>
    <row r="236" spans="1:11" x14ac:dyDescent="0.25">
      <c r="A236" s="33" t="s">
        <v>3529</v>
      </c>
      <c r="B236" s="51">
        <v>0</v>
      </c>
      <c r="C236" s="51">
        <v>0</v>
      </c>
      <c r="D236" s="51">
        <v>0</v>
      </c>
      <c r="E236" s="51">
        <v>0</v>
      </c>
      <c r="F236" s="51">
        <v>0</v>
      </c>
      <c r="G236" s="58">
        <v>0</v>
      </c>
      <c r="H236" s="51"/>
      <c r="I236" s="48">
        <v>0</v>
      </c>
      <c r="J236" s="51">
        <v>0</v>
      </c>
      <c r="K236" s="52">
        <v>0</v>
      </c>
    </row>
    <row r="237" spans="1:11" x14ac:dyDescent="0.25">
      <c r="A237" s="33" t="s">
        <v>3530</v>
      </c>
      <c r="B237" s="51">
        <v>0</v>
      </c>
      <c r="C237" s="51">
        <v>0</v>
      </c>
      <c r="D237" s="51">
        <v>0</v>
      </c>
      <c r="E237" s="51">
        <v>0</v>
      </c>
      <c r="F237" s="51">
        <v>0</v>
      </c>
      <c r="G237" s="58">
        <v>0</v>
      </c>
      <c r="H237" s="51"/>
      <c r="I237" s="48">
        <v>0</v>
      </c>
      <c r="J237" s="51">
        <v>0</v>
      </c>
      <c r="K237" s="52">
        <v>0</v>
      </c>
    </row>
    <row r="238" spans="1:11" x14ac:dyDescent="0.25">
      <c r="A238" s="33" t="s">
        <v>3531</v>
      </c>
      <c r="B238" s="51">
        <v>0</v>
      </c>
      <c r="C238" s="51">
        <v>0</v>
      </c>
      <c r="D238" s="51">
        <v>0</v>
      </c>
      <c r="E238" s="51">
        <v>0</v>
      </c>
      <c r="F238" s="51">
        <v>0</v>
      </c>
      <c r="G238" s="58">
        <v>0</v>
      </c>
      <c r="H238" s="51"/>
      <c r="I238" s="48">
        <v>0</v>
      </c>
      <c r="J238" s="51">
        <v>0</v>
      </c>
      <c r="K238" s="52">
        <v>0</v>
      </c>
    </row>
    <row r="239" spans="1:11" x14ac:dyDescent="0.25">
      <c r="A239" s="33" t="s">
        <v>3532</v>
      </c>
      <c r="B239" s="51">
        <v>0</v>
      </c>
      <c r="C239" s="51">
        <v>0</v>
      </c>
      <c r="D239" s="51">
        <v>0</v>
      </c>
      <c r="E239" s="51">
        <v>0</v>
      </c>
      <c r="F239" s="51">
        <v>0</v>
      </c>
      <c r="G239" s="58">
        <v>0</v>
      </c>
      <c r="H239" s="51"/>
      <c r="I239" s="48">
        <v>0</v>
      </c>
      <c r="J239" s="51">
        <v>0</v>
      </c>
      <c r="K239" s="52">
        <v>0</v>
      </c>
    </row>
    <row r="240" spans="1:11" x14ac:dyDescent="0.25">
      <c r="A240" s="33" t="s">
        <v>3457</v>
      </c>
      <c r="B240" s="51">
        <f>'Debt Service'!C132</f>
        <v>2679280</v>
      </c>
      <c r="C240" s="51">
        <f>'Debt Service'!D132</f>
        <v>2682358</v>
      </c>
      <c r="D240" s="51">
        <f>'Debt Service'!E132</f>
        <v>2688672</v>
      </c>
      <c r="E240" s="51">
        <f>'Debt Service'!F132</f>
        <v>4501772</v>
      </c>
      <c r="F240" s="51">
        <f>'Debt Service'!G132</f>
        <v>3450827.7199999997</v>
      </c>
      <c r="G240" s="58">
        <f>'Debt Service'!H132</f>
        <v>4501772</v>
      </c>
      <c r="H240" s="51"/>
      <c r="I240" s="51">
        <f>'Debt Service'!J132</f>
        <v>4335280.76</v>
      </c>
      <c r="J240" s="51">
        <f>'Debt Service'!K132</f>
        <v>0</v>
      </c>
      <c r="K240" s="51">
        <f>'Debt Service'!L132</f>
        <v>4335280.76</v>
      </c>
    </row>
    <row r="241" spans="1:11" x14ac:dyDescent="0.25">
      <c r="B241" s="51"/>
      <c r="C241" s="51"/>
      <c r="D241" s="51"/>
      <c r="E241" s="51"/>
      <c r="F241" s="51"/>
      <c r="H241" s="51"/>
    </row>
    <row r="242" spans="1:11" x14ac:dyDescent="0.25">
      <c r="A242" s="33" t="s">
        <v>3452</v>
      </c>
      <c r="B242" s="51">
        <f t="shared" ref="B242:K242" si="30">B238+B229+B231+B232+B233+B234+B235+B236+B239-B240+B237+B230</f>
        <v>22555</v>
      </c>
      <c r="C242" s="51">
        <f t="shared" si="30"/>
        <v>125900</v>
      </c>
      <c r="D242" s="51">
        <f t="shared" si="30"/>
        <v>107154</v>
      </c>
      <c r="E242" s="51">
        <f t="shared" si="30"/>
        <v>34376</v>
      </c>
      <c r="F242" s="51">
        <f t="shared" si="30"/>
        <v>1054944.1600000001</v>
      </c>
      <c r="G242" s="51">
        <f t="shared" si="30"/>
        <v>-8772</v>
      </c>
      <c r="H242" s="51"/>
      <c r="I242" s="51">
        <f t="shared" si="30"/>
        <v>40000.240000000224</v>
      </c>
      <c r="J242" s="51">
        <f t="shared" si="30"/>
        <v>0</v>
      </c>
      <c r="K242" s="51">
        <f t="shared" si="30"/>
        <v>0.24000000022351742</v>
      </c>
    </row>
    <row r="243" spans="1:11" x14ac:dyDescent="0.25">
      <c r="B243" s="51"/>
      <c r="C243" s="51"/>
      <c r="D243" s="51"/>
      <c r="E243" s="51"/>
      <c r="F243" s="51"/>
      <c r="G243" s="51"/>
      <c r="H243" s="51"/>
      <c r="I243" s="51"/>
      <c r="J243" s="51"/>
      <c r="K243" s="52"/>
    </row>
    <row r="244" spans="1:11" x14ac:dyDescent="0.25">
      <c r="A244" s="55" t="s">
        <v>3453</v>
      </c>
      <c r="B244" s="51">
        <v>1</v>
      </c>
      <c r="C244" s="51">
        <v>2</v>
      </c>
      <c r="D244" s="51">
        <v>0</v>
      </c>
      <c r="E244" s="51">
        <v>0</v>
      </c>
      <c r="F244" s="51">
        <v>0</v>
      </c>
      <c r="G244" s="51">
        <v>0</v>
      </c>
      <c r="H244" s="51"/>
      <c r="I244" s="51">
        <v>0</v>
      </c>
      <c r="J244" s="51">
        <v>0</v>
      </c>
      <c r="K244" s="52">
        <f>I244+J244</f>
        <v>0</v>
      </c>
    </row>
    <row r="245" spans="1:11" x14ac:dyDescent="0.25">
      <c r="B245" s="51"/>
      <c r="C245" s="51"/>
      <c r="D245" s="51"/>
      <c r="E245" s="51"/>
      <c r="F245" s="51"/>
      <c r="G245" s="51"/>
      <c r="H245" s="51"/>
    </row>
    <row r="246" spans="1:11" x14ac:dyDescent="0.25">
      <c r="A246" s="33" t="s">
        <v>3454</v>
      </c>
      <c r="B246" s="51">
        <f t="shared" ref="B246:G246" si="31">+B226+B229+B231+B235+B236-B240+B232+B234+B244+B230</f>
        <v>459708</v>
      </c>
      <c r="C246" s="51">
        <f t="shared" si="31"/>
        <v>585610</v>
      </c>
      <c r="D246" s="51">
        <f t="shared" si="31"/>
        <v>692764</v>
      </c>
      <c r="E246" s="51">
        <f t="shared" si="31"/>
        <v>727140</v>
      </c>
      <c r="F246" s="51">
        <f t="shared" si="31"/>
        <v>1054944.1600000001</v>
      </c>
      <c r="G246" s="51">
        <f t="shared" si="31"/>
        <v>683992</v>
      </c>
      <c r="H246" s="51"/>
      <c r="I246" s="51">
        <f>+I226+I229+I231+I235+I236-I240+I232+I234+I244+I230</f>
        <v>40000.240000000224</v>
      </c>
      <c r="J246" s="51">
        <f>+J226+J229+J231+J235+J236-J240+J232+J234+J244+J230</f>
        <v>0</v>
      </c>
      <c r="K246" s="52">
        <f>I246+J246</f>
        <v>40000.240000000224</v>
      </c>
    </row>
    <row r="247" spans="1:11" x14ac:dyDescent="0.25">
      <c r="B247" s="51"/>
      <c r="C247" s="51"/>
      <c r="D247" s="51"/>
      <c r="E247" s="51"/>
      <c r="F247" s="51"/>
      <c r="G247" s="51"/>
      <c r="H247" s="51"/>
    </row>
    <row r="248" spans="1:11" x14ac:dyDescent="0.25">
      <c r="B248" s="51"/>
      <c r="C248" s="51"/>
      <c r="D248" s="51"/>
      <c r="E248" s="51"/>
      <c r="F248" s="51"/>
      <c r="G248" s="51"/>
      <c r="H248" s="51"/>
    </row>
    <row r="249" spans="1:11" x14ac:dyDescent="0.25">
      <c r="A249" s="49" t="s">
        <v>3533</v>
      </c>
      <c r="B249" s="51"/>
      <c r="C249" s="51"/>
      <c r="D249" s="51"/>
      <c r="E249" s="51"/>
      <c r="F249" s="51"/>
      <c r="G249" s="51"/>
      <c r="H249" s="51"/>
    </row>
    <row r="250" spans="1:11" x14ac:dyDescent="0.25">
      <c r="A250" s="49"/>
      <c r="B250" s="51"/>
      <c r="C250" s="51"/>
      <c r="D250" s="51"/>
      <c r="E250" s="51"/>
      <c r="F250" s="51"/>
      <c r="G250" s="51"/>
      <c r="H250" s="51"/>
    </row>
    <row r="251" spans="1:11" x14ac:dyDescent="0.25">
      <c r="A251" s="33" t="s">
        <v>3420</v>
      </c>
      <c r="B251" s="51">
        <v>652537</v>
      </c>
      <c r="C251" s="51">
        <v>657625</v>
      </c>
      <c r="D251" s="51">
        <v>686399.88</v>
      </c>
      <c r="E251" s="51">
        <v>723623.18</v>
      </c>
      <c r="F251" s="51">
        <v>0</v>
      </c>
      <c r="G251" s="51">
        <v>723623.18</v>
      </c>
      <c r="H251" s="51"/>
      <c r="I251" s="51">
        <v>0</v>
      </c>
      <c r="J251" s="51">
        <v>0</v>
      </c>
      <c r="K251" s="52">
        <f>G262</f>
        <v>753623.18</v>
      </c>
    </row>
    <row r="252" spans="1:11" x14ac:dyDescent="0.25">
      <c r="B252" s="51"/>
      <c r="C252" s="51"/>
      <c r="D252" s="51"/>
      <c r="E252" s="51"/>
      <c r="F252" s="51"/>
      <c r="G252" s="64"/>
      <c r="H252" s="51"/>
    </row>
    <row r="253" spans="1:11" x14ac:dyDescent="0.25">
      <c r="A253" s="33" t="s">
        <v>3421</v>
      </c>
      <c r="B253" s="51">
        <f>'Park Fund'!C11+'Park Fund'!C12+'Park Fund'!C13</f>
        <v>0</v>
      </c>
      <c r="C253" s="51">
        <f>'Park Fund'!D11+'Park Fund'!D12+'Park Fund'!D13</f>
        <v>0</v>
      </c>
      <c r="D253" s="51">
        <f>'Park Fund'!E11+'Park Fund'!E12+'Park Fund'!E13</f>
        <v>0</v>
      </c>
      <c r="E253" s="51">
        <f>'Park Fund'!F11+'Park Fund'!F12+'Park Fund'!F13</f>
        <v>0</v>
      </c>
      <c r="F253" s="51">
        <f>'Park Fund'!G11+'Park Fund'!G12+'Park Fund'!G13</f>
        <v>0</v>
      </c>
      <c r="G253" s="51">
        <f>'Park Fund'!H11+'Park Fund'!H12+'Park Fund'!H13</f>
        <v>0</v>
      </c>
      <c r="H253" s="51"/>
      <c r="I253" s="51">
        <f>'Park Fund'!J11+'Park Fund'!J12+'Park Fund'!J13</f>
        <v>0</v>
      </c>
      <c r="J253" s="51">
        <f>'Park Fund'!K11+'Park Fund'!K12+'Park Fund'!K13</f>
        <v>0</v>
      </c>
      <c r="K253" s="51">
        <f>'Park Fund'!L11+'Park Fund'!L12+'Park Fund'!L13</f>
        <v>0</v>
      </c>
    </row>
    <row r="254" spans="1:11" x14ac:dyDescent="0.25">
      <c r="A254" s="33" t="s">
        <v>3534</v>
      </c>
      <c r="B254" s="51">
        <v>0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/>
      <c r="I254" s="51">
        <v>0</v>
      </c>
      <c r="J254" s="51">
        <v>0</v>
      </c>
      <c r="K254" s="51">
        <f>I254+J254</f>
        <v>0</v>
      </c>
    </row>
    <row r="255" spans="1:11" x14ac:dyDescent="0.25">
      <c r="A255" s="33" t="s">
        <v>3535</v>
      </c>
      <c r="B255" s="51">
        <f>'Park Fund'!C10</f>
        <v>5088</v>
      </c>
      <c r="C255" s="51">
        <f>'Park Fund'!D10</f>
        <v>31925</v>
      </c>
      <c r="D255" s="51">
        <f>'Park Fund'!E10</f>
        <v>38458</v>
      </c>
      <c r="E255" s="51">
        <f>'Park Fund'!F10</f>
        <v>28802</v>
      </c>
      <c r="F255" s="51">
        <f>'Park Fund'!G10</f>
        <v>24805.53</v>
      </c>
      <c r="G255" s="51">
        <f>'Park Fund'!H10</f>
        <v>30000</v>
      </c>
      <c r="H255" s="51"/>
      <c r="I255" s="51">
        <f>'Park Fund'!J10</f>
        <v>29000</v>
      </c>
      <c r="J255" s="51">
        <f>'Park Fund'!K10</f>
        <v>0</v>
      </c>
      <c r="K255" s="51">
        <f>'Park Fund'!L10</f>
        <v>29000</v>
      </c>
    </row>
    <row r="256" spans="1:11" x14ac:dyDescent="0.25">
      <c r="A256" s="33" t="s">
        <v>3457</v>
      </c>
      <c r="B256" s="51">
        <f>'Park Fund'!C57</f>
        <v>0</v>
      </c>
      <c r="C256" s="51">
        <f>'Park Fund'!D57</f>
        <v>3150</v>
      </c>
      <c r="D256" s="51">
        <f>'Park Fund'!E57</f>
        <v>1235</v>
      </c>
      <c r="E256" s="51">
        <f>'Park Fund'!F57</f>
        <v>0</v>
      </c>
      <c r="F256" s="51">
        <f>'Park Fund'!G57</f>
        <v>0</v>
      </c>
      <c r="G256" s="51">
        <f>'Park Fund'!H57</f>
        <v>0</v>
      </c>
      <c r="H256" s="51"/>
      <c r="I256" s="51">
        <f>'Park Fund'!J57</f>
        <v>0</v>
      </c>
      <c r="J256" s="51">
        <f>'Park Fund'!K57</f>
        <v>0</v>
      </c>
      <c r="K256" s="51">
        <f>'Park Fund'!L57</f>
        <v>0</v>
      </c>
    </row>
    <row r="257" spans="1:11" x14ac:dyDescent="0.25">
      <c r="B257" s="51"/>
      <c r="C257" s="51"/>
      <c r="D257" s="51"/>
      <c r="E257" s="51"/>
      <c r="F257" s="51"/>
      <c r="G257" s="51"/>
      <c r="H257" s="51"/>
    </row>
    <row r="258" spans="1:11" x14ac:dyDescent="0.25">
      <c r="A258" s="33" t="s">
        <v>3452</v>
      </c>
      <c r="B258" s="51">
        <f t="shared" ref="B258:G258" si="32">B253+B254+B255-B256</f>
        <v>5088</v>
      </c>
      <c r="C258" s="51">
        <f t="shared" si="32"/>
        <v>28775</v>
      </c>
      <c r="D258" s="51">
        <f t="shared" si="32"/>
        <v>37223</v>
      </c>
      <c r="E258" s="51">
        <f t="shared" si="32"/>
        <v>28802</v>
      </c>
      <c r="F258" s="51">
        <f t="shared" si="32"/>
        <v>24805.53</v>
      </c>
      <c r="G258" s="51">
        <f t="shared" si="32"/>
        <v>30000</v>
      </c>
      <c r="H258" s="51"/>
      <c r="I258" s="51">
        <f>I253+I254+I255-I256</f>
        <v>29000</v>
      </c>
      <c r="J258" s="51">
        <f>J253+J254+J255-J256</f>
        <v>0</v>
      </c>
      <c r="K258" s="51">
        <f>K253+K254+K255-K256</f>
        <v>29000</v>
      </c>
    </row>
    <row r="259" spans="1:11" x14ac:dyDescent="0.25">
      <c r="B259" s="51"/>
      <c r="C259" s="51"/>
      <c r="D259" s="51"/>
      <c r="E259" s="51"/>
      <c r="F259" s="51"/>
      <c r="G259" s="51"/>
      <c r="H259" s="51"/>
      <c r="I259" s="51"/>
      <c r="J259" s="51"/>
    </row>
    <row r="260" spans="1:11" x14ac:dyDescent="0.25">
      <c r="A260" s="55" t="s">
        <v>3453</v>
      </c>
      <c r="B260" s="51">
        <v>0</v>
      </c>
      <c r="C260" s="51">
        <v>0</v>
      </c>
      <c r="D260" s="51">
        <v>0</v>
      </c>
      <c r="E260" s="51">
        <v>0</v>
      </c>
      <c r="F260" s="51">
        <v>0</v>
      </c>
      <c r="G260" s="51"/>
      <c r="H260" s="51"/>
      <c r="I260" s="51">
        <v>0</v>
      </c>
      <c r="J260" s="51">
        <v>0</v>
      </c>
      <c r="K260" s="52">
        <f>I260+J260</f>
        <v>0</v>
      </c>
    </row>
    <row r="261" spans="1:11" x14ac:dyDescent="0.25">
      <c r="B261" s="51"/>
      <c r="C261" s="51"/>
      <c r="D261" s="51"/>
      <c r="E261" s="51"/>
      <c r="F261" s="51"/>
      <c r="G261" s="51"/>
      <c r="H261" s="51"/>
    </row>
    <row r="262" spans="1:11" x14ac:dyDescent="0.25">
      <c r="A262" s="33" t="s">
        <v>3454</v>
      </c>
      <c r="B262" s="51">
        <f t="shared" ref="B262:K262" si="33">+B251+B253+B255-B256+B254+B260</f>
        <v>657625</v>
      </c>
      <c r="C262" s="51">
        <f t="shared" si="33"/>
        <v>686400</v>
      </c>
      <c r="D262" s="51">
        <f t="shared" si="33"/>
        <v>723622.88</v>
      </c>
      <c r="E262" s="51">
        <f t="shared" si="33"/>
        <v>752425.18</v>
      </c>
      <c r="F262" s="51">
        <f t="shared" si="33"/>
        <v>24805.53</v>
      </c>
      <c r="G262" s="51">
        <f t="shared" si="33"/>
        <v>753623.18</v>
      </c>
      <c r="H262" s="51"/>
      <c r="I262" s="51">
        <f t="shared" si="33"/>
        <v>29000</v>
      </c>
      <c r="J262" s="51">
        <f t="shared" si="33"/>
        <v>0</v>
      </c>
      <c r="K262" s="51">
        <f t="shared" si="33"/>
        <v>782623.18</v>
      </c>
    </row>
    <row r="263" spans="1:11" x14ac:dyDescent="0.25">
      <c r="B263" s="51"/>
      <c r="C263" s="51"/>
      <c r="D263" s="51"/>
      <c r="E263" s="51"/>
      <c r="F263" s="51"/>
      <c r="G263" s="51"/>
      <c r="H263" s="51"/>
    </row>
    <row r="264" spans="1:11" x14ac:dyDescent="0.25">
      <c r="A264" s="61" t="s">
        <v>3536</v>
      </c>
      <c r="B264" s="51">
        <f t="shared" ref="B264:G264" si="34">+B16+B63+B64+B78+B106+B162+B180+B203+B206+B229+B231+B234+B253+B255+B164+B18+B235+B163+B233+B83+B232+B239+B204+B205+B188+B181+B238+B236+B237+B182+B183+B184+B186+B254+B207+B208+B185+B165+B187+B230</f>
        <v>33207447</v>
      </c>
      <c r="C264" s="51">
        <f t="shared" si="34"/>
        <v>32059965</v>
      </c>
      <c r="D264" s="51">
        <f t="shared" si="34"/>
        <v>60354157</v>
      </c>
      <c r="E264" s="51">
        <f t="shared" si="34"/>
        <v>36220335</v>
      </c>
      <c r="F264" s="51">
        <f t="shared" si="34"/>
        <v>27989485.450000007</v>
      </c>
      <c r="G264" s="51">
        <f t="shared" si="34"/>
        <v>33144120</v>
      </c>
      <c r="H264" s="51"/>
      <c r="I264" s="51">
        <f>+I16+I63+I64+I78+I106+I162+I180+I203+I206+I229+I231+I234+I253+I255+I164+I18+I235+I163+I233+I83+I232+I239+I204+I205+I188+I181+I238+I236+I237+I182+I183+I184+I186+I254+I207+I208+I185+I165+I187+I230</f>
        <v>47948977</v>
      </c>
      <c r="J264" s="51">
        <f>+J16+J63+J64+J78+J106+J162+J180+J203+J206+J229+J231+J234+J253+J255+J164+J18+J235+J163+J233+J83+J232+J239+J204+J205+J188+J181+J238+J236+J237+J182+J183+J184+J186+J254+J207+J208+J185+J165+J187+J230</f>
        <v>0</v>
      </c>
      <c r="K264" s="51">
        <f>+K16+K63+K64+K78+K106+K162+K180+K203+K206+K229+K231+K234+K253+K255+K164+K18+K235+K163+K233+K83+K232+K239+K204+K205+K188+K181+K238+K236+K237+K182+K183+K184+K186+K254+K207+K208+K185+K165+K187+K230</f>
        <v>47908977</v>
      </c>
    </row>
    <row r="265" spans="1:11" x14ac:dyDescent="0.25">
      <c r="A265" s="61" t="s">
        <v>3537</v>
      </c>
      <c r="B265" s="51">
        <f t="shared" ref="B265:G265" si="35">B50+B65+B132+B93+B240+B189+B167+B215+B256+B209+B190+B213+B214</f>
        <v>27068822</v>
      </c>
      <c r="C265" s="51">
        <f t="shared" si="35"/>
        <v>23663695</v>
      </c>
      <c r="D265" s="51">
        <f t="shared" si="35"/>
        <v>27037542</v>
      </c>
      <c r="E265" s="51">
        <f t="shared" si="35"/>
        <v>35763722</v>
      </c>
      <c r="F265" s="51">
        <f t="shared" si="35"/>
        <v>26382407.190000005</v>
      </c>
      <c r="G265" s="51">
        <f t="shared" si="35"/>
        <v>32034922.84</v>
      </c>
      <c r="H265" s="51"/>
      <c r="I265" s="51">
        <f>I50+I65+I132+I93+I240+I189+I167+I215+I256+I209+I190+I213+I214</f>
        <v>41047277.230999999</v>
      </c>
      <c r="J265" s="51">
        <f>J50+J65+J132+J93+J240+J189+J167+J215+J256+J209+J190+J213+J214</f>
        <v>1888750</v>
      </c>
      <c r="K265" s="51">
        <f>K50+K65+K132+K93+K240+K189+K167+K215+K256+K209+K190+K213+K214</f>
        <v>42786027.230999999</v>
      </c>
    </row>
    <row r="266" spans="1:11" x14ac:dyDescent="0.25">
      <c r="A266" s="61" t="s">
        <v>3538</v>
      </c>
      <c r="B266" s="51">
        <f t="shared" ref="B266:K266" si="36">+B264-B265</f>
        <v>6138625</v>
      </c>
      <c r="C266" s="51">
        <f t="shared" si="36"/>
        <v>8396270</v>
      </c>
      <c r="D266" s="51">
        <f t="shared" si="36"/>
        <v>33316615</v>
      </c>
      <c r="E266" s="51">
        <f t="shared" si="36"/>
        <v>456613</v>
      </c>
      <c r="F266" s="51">
        <f t="shared" si="36"/>
        <v>1607078.2600000016</v>
      </c>
      <c r="G266" s="51">
        <f t="shared" si="36"/>
        <v>1109197.1600000001</v>
      </c>
      <c r="H266" s="51"/>
      <c r="I266" s="51">
        <f t="shared" si="36"/>
        <v>6901699.7690000013</v>
      </c>
      <c r="J266" s="51">
        <f t="shared" si="36"/>
        <v>-1888750</v>
      </c>
      <c r="K266" s="51">
        <f t="shared" si="36"/>
        <v>5122949.7690000013</v>
      </c>
    </row>
    <row r="267" spans="1:11" x14ac:dyDescent="0.25">
      <c r="A267" s="61"/>
      <c r="G267" s="51"/>
    </row>
    <row r="268" spans="1:11" x14ac:dyDescent="0.25">
      <c r="A268" s="61" t="s">
        <v>3539</v>
      </c>
      <c r="B268" s="51">
        <f t="shared" ref="B268:G268" si="37">+B52+B67+B95+B134+B169+B192+B217+B242+B258</f>
        <v>6138625</v>
      </c>
      <c r="C268" s="51">
        <f t="shared" si="37"/>
        <v>8396270</v>
      </c>
      <c r="D268" s="51">
        <f t="shared" si="37"/>
        <v>33316615</v>
      </c>
      <c r="E268" s="51">
        <f t="shared" si="37"/>
        <v>456613</v>
      </c>
      <c r="F268" s="51">
        <f t="shared" si="37"/>
        <v>1607078.2599999991</v>
      </c>
      <c r="G268" s="51">
        <f t="shared" si="37"/>
        <v>4669484.59</v>
      </c>
      <c r="H268" s="51"/>
      <c r="I268" s="51">
        <f>+I52+I67+I95+I134+I169+I192+I217+I242+I258</f>
        <v>6901699.7689999957</v>
      </c>
      <c r="J268" s="51">
        <f>+J52+J67+J95+J134+J169+J192+J217+J242+J258</f>
        <v>-1888750</v>
      </c>
      <c r="K268" s="51">
        <f>+K52+K67+K95+K134+K169+K192+K217+K242+K258</f>
        <v>5122949.7689999957</v>
      </c>
    </row>
    <row r="282" spans="2:7" x14ac:dyDescent="0.25">
      <c r="B282" s="51"/>
      <c r="E282" s="51"/>
      <c r="F282" s="51"/>
      <c r="G282" s="51"/>
    </row>
    <row r="283" spans="2:7" x14ac:dyDescent="0.25">
      <c r="B283" s="51"/>
      <c r="E283" s="51"/>
      <c r="F283" s="51"/>
      <c r="G283" s="51"/>
    </row>
    <row r="284" spans="2:7" x14ac:dyDescent="0.25">
      <c r="B284" s="51"/>
      <c r="E284" s="51"/>
      <c r="F284" s="51"/>
      <c r="G284" s="51"/>
    </row>
    <row r="285" spans="2:7" x14ac:dyDescent="0.25">
      <c r="B285" s="51"/>
      <c r="E285" s="51"/>
      <c r="F285" s="51"/>
      <c r="G285" s="51"/>
    </row>
    <row r="286" spans="2:7" x14ac:dyDescent="0.25">
      <c r="B286" s="51"/>
      <c r="E286" s="51"/>
      <c r="F286" s="51"/>
      <c r="G286" s="51"/>
    </row>
    <row r="287" spans="2:7" x14ac:dyDescent="0.25">
      <c r="B287" s="51"/>
      <c r="E287" s="51"/>
      <c r="F287" s="51"/>
      <c r="G287" s="51"/>
    </row>
    <row r="288" spans="2:7" x14ac:dyDescent="0.25">
      <c r="B288" s="51"/>
      <c r="E288" s="51"/>
      <c r="F288" s="51"/>
      <c r="G288" s="51"/>
    </row>
  </sheetData>
  <sheetProtection algorithmName="SHA-512" hashValue="GtzYgezbnGqER/AeiELx2L5uQU6crc+P+beKQhgzGxV3HHfMAPgzq0fqMt2hQ09KHpAhv20jGU8ek/7FRla1NA==" saltValue="rwNkLvxfNBaE97aT2ZIULw==" spinCount="100000" sheet="1" objects="1" scenarios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EE61-E69D-4705-B984-4C2C59B25EC0}">
  <sheetPr>
    <pageSetUpPr fitToPage="1"/>
  </sheetPr>
  <dimension ref="A1:L98"/>
  <sheetViews>
    <sheetView zoomScaleNormal="100" workbookViewId="0">
      <selection activeCell="J90" sqref="J90"/>
    </sheetView>
  </sheetViews>
  <sheetFormatPr defaultRowHeight="15" x14ac:dyDescent="0.25"/>
  <cols>
    <col min="2" max="2" width="32.5703125" style="7" bestFit="1" customWidth="1"/>
    <col min="3" max="3" width="13.28515625" style="12" bestFit="1" customWidth="1"/>
    <col min="4" max="4" width="15" style="12" bestFit="1" customWidth="1"/>
    <col min="5" max="5" width="14.28515625" style="12" bestFit="1" customWidth="1"/>
    <col min="6" max="6" width="14.140625" style="12" bestFit="1" customWidth="1"/>
    <col min="7" max="7" width="12.85546875" style="12" bestFit="1" customWidth="1"/>
    <col min="8" max="8" width="13.28515625" style="11" bestFit="1" customWidth="1"/>
    <col min="9" max="9" width="10.7109375" style="11" customWidth="1"/>
    <col min="10" max="10" width="13.28515625" style="11" bestFit="1" customWidth="1"/>
    <col min="11" max="11" width="14.7109375" style="11" bestFit="1" customWidth="1"/>
    <col min="12" max="12" width="14.140625" style="12" bestFit="1" customWidth="1"/>
  </cols>
  <sheetData>
    <row r="1" spans="1:12" x14ac:dyDescent="0.25">
      <c r="A1" t="s">
        <v>3726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3749</v>
      </c>
    </row>
    <row r="11" spans="1:12" x14ac:dyDescent="0.25">
      <c r="A11" t="s">
        <v>441</v>
      </c>
      <c r="C11" s="22"/>
      <c r="D11" s="22"/>
      <c r="E11" s="22"/>
      <c r="F11" s="22"/>
      <c r="G11" s="22"/>
      <c r="H11" s="21"/>
      <c r="I11" s="21"/>
      <c r="J11" s="21"/>
      <c r="K11" s="21"/>
      <c r="L11" s="22"/>
    </row>
    <row r="12" spans="1:12" x14ac:dyDescent="0.25">
      <c r="A12" t="s">
        <v>18</v>
      </c>
      <c r="B12" s="7" t="s">
        <v>228</v>
      </c>
      <c r="C12" s="22"/>
      <c r="D12" s="22"/>
      <c r="E12" s="22"/>
      <c r="F12" s="22"/>
      <c r="G12" s="22"/>
      <c r="H12" s="21"/>
      <c r="I12" s="21"/>
      <c r="J12" s="21"/>
      <c r="K12" s="21"/>
      <c r="L12" s="22"/>
    </row>
    <row r="13" spans="1:12" x14ac:dyDescent="0.25">
      <c r="A13" t="s">
        <v>2277</v>
      </c>
      <c r="B13" s="7" t="s">
        <v>2278</v>
      </c>
      <c r="C13" s="22">
        <v>1160</v>
      </c>
      <c r="D13" s="22">
        <v>-516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2279</v>
      </c>
      <c r="B14" s="7" t="s">
        <v>396</v>
      </c>
      <c r="C14" s="22">
        <v>9</v>
      </c>
      <c r="D14" s="22">
        <v>9</v>
      </c>
      <c r="E14" s="22">
        <v>117</v>
      </c>
      <c r="F14" s="22">
        <v>252</v>
      </c>
      <c r="G14" s="22">
        <v>63</v>
      </c>
      <c r="H14" s="21">
        <v>63</v>
      </c>
      <c r="I14" s="21"/>
      <c r="J14" s="21">
        <v>63</v>
      </c>
      <c r="K14" s="21">
        <v>0</v>
      </c>
      <c r="L14" s="22">
        <f t="shared" ref="L14:L30" si="0">SUM(J14+K14)</f>
        <v>63</v>
      </c>
    </row>
    <row r="15" spans="1:12" x14ac:dyDescent="0.25">
      <c r="A15" t="s">
        <v>2280</v>
      </c>
      <c r="B15" s="7" t="s">
        <v>398</v>
      </c>
      <c r="C15" s="22">
        <v>4295</v>
      </c>
      <c r="D15" s="22">
        <v>4686</v>
      </c>
      <c r="E15" s="22">
        <v>4589</v>
      </c>
      <c r="F15" s="22">
        <v>4570</v>
      </c>
      <c r="G15" s="22">
        <v>4178.76</v>
      </c>
      <c r="H15" s="21">
        <v>4570</v>
      </c>
      <c r="I15" s="21"/>
      <c r="J15" s="21">
        <v>4485.83</v>
      </c>
      <c r="K15" s="21">
        <v>0</v>
      </c>
      <c r="L15" s="22">
        <f t="shared" si="0"/>
        <v>4485.83</v>
      </c>
    </row>
    <row r="16" spans="1:12" x14ac:dyDescent="0.25">
      <c r="A16" t="s">
        <v>2281</v>
      </c>
      <c r="B16" s="7" t="s">
        <v>400</v>
      </c>
      <c r="C16" s="22">
        <v>4754</v>
      </c>
      <c r="D16" s="22">
        <v>5257</v>
      </c>
      <c r="E16" s="22">
        <v>5535</v>
      </c>
      <c r="F16" s="22">
        <v>5670</v>
      </c>
      <c r="G16" s="22">
        <v>4527.29</v>
      </c>
      <c r="H16" s="21">
        <v>5250</v>
      </c>
      <c r="I16" s="21"/>
      <c r="J16" s="21">
        <f>1336.98+3987.23</f>
        <v>5324.21</v>
      </c>
      <c r="K16" s="21">
        <v>0</v>
      </c>
      <c r="L16" s="22">
        <f t="shared" si="0"/>
        <v>5324.21</v>
      </c>
    </row>
    <row r="17" spans="1:12" x14ac:dyDescent="0.25">
      <c r="A17" t="s">
        <v>2282</v>
      </c>
      <c r="B17" s="7" t="s">
        <v>574</v>
      </c>
      <c r="C17" s="22">
        <v>14868</v>
      </c>
      <c r="D17" s="22">
        <v>16591</v>
      </c>
      <c r="E17" s="22">
        <v>17418</v>
      </c>
      <c r="F17" s="22">
        <v>17379</v>
      </c>
      <c r="G17" s="22">
        <v>15904.96</v>
      </c>
      <c r="H17" s="21">
        <v>16750</v>
      </c>
      <c r="I17" s="21"/>
      <c r="J17" s="21">
        <v>33279.96</v>
      </c>
      <c r="K17" s="21">
        <v>0</v>
      </c>
      <c r="L17" s="22">
        <f t="shared" si="0"/>
        <v>33279.96</v>
      </c>
    </row>
    <row r="18" spans="1:12" x14ac:dyDescent="0.25">
      <c r="A18" t="s">
        <v>2283</v>
      </c>
      <c r="B18" s="7" t="s">
        <v>404</v>
      </c>
      <c r="C18" s="22">
        <v>664</v>
      </c>
      <c r="D18" s="22">
        <v>663</v>
      </c>
      <c r="E18" s="22">
        <v>659</v>
      </c>
      <c r="F18" s="22">
        <v>654</v>
      </c>
      <c r="G18" s="22">
        <v>519.75</v>
      </c>
      <c r="H18" s="21">
        <v>654</v>
      </c>
      <c r="I18" s="21"/>
      <c r="J18" s="21">
        <v>720</v>
      </c>
      <c r="K18" s="21">
        <v>0</v>
      </c>
      <c r="L18" s="22">
        <f t="shared" si="0"/>
        <v>720</v>
      </c>
    </row>
    <row r="19" spans="1:12" x14ac:dyDescent="0.25">
      <c r="A19" t="s">
        <v>2284</v>
      </c>
      <c r="B19" s="7" t="s">
        <v>406</v>
      </c>
      <c r="C19" s="22">
        <v>1307</v>
      </c>
      <c r="D19" s="22">
        <v>887</v>
      </c>
      <c r="E19" s="22">
        <v>1622</v>
      </c>
      <c r="F19" s="22">
        <v>1784</v>
      </c>
      <c r="G19" s="22">
        <v>2082.61</v>
      </c>
      <c r="H19" s="21">
        <v>2083</v>
      </c>
      <c r="I19" s="21"/>
      <c r="J19" s="21">
        <f>G19*10%+G19</f>
        <v>2290.8710000000001</v>
      </c>
      <c r="K19" s="21">
        <v>0</v>
      </c>
      <c r="L19" s="22">
        <f t="shared" si="0"/>
        <v>2290.8710000000001</v>
      </c>
    </row>
    <row r="20" spans="1:12" x14ac:dyDescent="0.25">
      <c r="A20" t="s">
        <v>2285</v>
      </c>
      <c r="B20" s="7" t="s">
        <v>424</v>
      </c>
      <c r="C20" s="22">
        <v>415</v>
      </c>
      <c r="D20" s="22">
        <v>450</v>
      </c>
      <c r="E20" s="22">
        <v>450</v>
      </c>
      <c r="F20" s="22">
        <v>484</v>
      </c>
      <c r="G20" s="22">
        <v>346.02</v>
      </c>
      <c r="H20" s="21">
        <v>346</v>
      </c>
      <c r="I20" s="21"/>
      <c r="J20" s="21">
        <v>138.41</v>
      </c>
      <c r="K20" s="21">
        <v>0</v>
      </c>
      <c r="L20" s="22">
        <f t="shared" si="0"/>
        <v>138.41</v>
      </c>
    </row>
    <row r="21" spans="1:12" x14ac:dyDescent="0.25">
      <c r="A21" t="s">
        <v>2286</v>
      </c>
      <c r="B21" s="7" t="s">
        <v>426</v>
      </c>
      <c r="C21" s="22">
        <v>405</v>
      </c>
      <c r="D21" s="22">
        <v>405</v>
      </c>
      <c r="E21" s="22">
        <v>405</v>
      </c>
      <c r="F21" s="22">
        <v>405</v>
      </c>
      <c r="G21" s="22">
        <v>415.22</v>
      </c>
      <c r="H21" s="21">
        <v>415</v>
      </c>
      <c r="I21" s="21"/>
      <c r="J21" s="21">
        <v>404.91</v>
      </c>
      <c r="K21" s="21">
        <v>0</v>
      </c>
      <c r="L21" s="22">
        <f t="shared" si="0"/>
        <v>404.91</v>
      </c>
    </row>
    <row r="22" spans="1:12" x14ac:dyDescent="0.25">
      <c r="A22" t="s">
        <v>2287</v>
      </c>
      <c r="B22" s="7" t="s">
        <v>1204</v>
      </c>
      <c r="C22" s="22">
        <v>180</v>
      </c>
      <c r="D22" s="22">
        <v>180</v>
      </c>
      <c r="E22" s="22">
        <v>180</v>
      </c>
      <c r="F22" s="22">
        <v>180</v>
      </c>
      <c r="G22" s="22">
        <v>179.95</v>
      </c>
      <c r="H22" s="21">
        <v>180</v>
      </c>
      <c r="I22" s="21"/>
      <c r="J22" s="21">
        <v>179.95</v>
      </c>
      <c r="K22" s="21">
        <v>0</v>
      </c>
      <c r="L22" s="22">
        <f t="shared" si="0"/>
        <v>179.95</v>
      </c>
    </row>
    <row r="23" spans="1:12" x14ac:dyDescent="0.25">
      <c r="A23" t="s">
        <v>2288</v>
      </c>
      <c r="B23" s="7" t="s">
        <v>428</v>
      </c>
      <c r="C23" s="22">
        <v>0</v>
      </c>
      <c r="D23" s="22">
        <v>0</v>
      </c>
      <c r="E23" s="22">
        <v>0</v>
      </c>
      <c r="F23" s="22">
        <v>0</v>
      </c>
      <c r="G23" s="22">
        <v>276.95999999999998</v>
      </c>
      <c r="H23" s="21">
        <v>350</v>
      </c>
      <c r="I23" s="21"/>
      <c r="J23" s="21">
        <v>0</v>
      </c>
      <c r="K23" s="21">
        <v>0</v>
      </c>
      <c r="L23" s="22">
        <f t="shared" si="0"/>
        <v>0</v>
      </c>
    </row>
    <row r="24" spans="1:12" x14ac:dyDescent="0.25">
      <c r="A24" t="s">
        <v>2289</v>
      </c>
      <c r="B24" s="7" t="s">
        <v>430</v>
      </c>
      <c r="C24" s="22">
        <v>35</v>
      </c>
      <c r="D24" s="22">
        <v>35</v>
      </c>
      <c r="E24" s="22">
        <v>35</v>
      </c>
      <c r="F24" s="22">
        <v>35</v>
      </c>
      <c r="G24" s="22">
        <v>34.6</v>
      </c>
      <c r="H24" s="21">
        <v>35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2290</v>
      </c>
      <c r="B25" s="7" t="s">
        <v>432</v>
      </c>
      <c r="C25" s="22">
        <v>3822</v>
      </c>
      <c r="D25" s="22">
        <v>6655</v>
      </c>
      <c r="E25" s="22">
        <v>5276</v>
      </c>
      <c r="F25" s="22">
        <v>6500</v>
      </c>
      <c r="G25" s="22">
        <v>7605.02</v>
      </c>
      <c r="H25" s="21">
        <v>8000</v>
      </c>
      <c r="I25" s="21"/>
      <c r="J25" s="21">
        <v>6500</v>
      </c>
      <c r="K25" s="21">
        <v>0</v>
      </c>
      <c r="L25" s="22">
        <f t="shared" si="0"/>
        <v>6500</v>
      </c>
    </row>
    <row r="26" spans="1:12" x14ac:dyDescent="0.25">
      <c r="A26" t="s">
        <v>2291</v>
      </c>
      <c r="B26" s="7" t="s">
        <v>434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1">
        <v>0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2292</v>
      </c>
      <c r="B27" s="7" t="s">
        <v>436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2293</v>
      </c>
      <c r="B28" s="7" t="s">
        <v>607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2294</v>
      </c>
      <c r="B29" s="7" t="s">
        <v>2295</v>
      </c>
      <c r="C29" s="22">
        <v>52681</v>
      </c>
      <c r="D29" s="22">
        <v>55438</v>
      </c>
      <c r="E29" s="22">
        <v>55557</v>
      </c>
      <c r="F29" s="22">
        <v>58640</v>
      </c>
      <c r="G29" s="22">
        <v>48673.29</v>
      </c>
      <c r="H29" s="21">
        <v>55000</v>
      </c>
      <c r="I29" s="21"/>
      <c r="J29" s="21">
        <v>50440</v>
      </c>
      <c r="K29" s="21">
        <v>0</v>
      </c>
      <c r="L29" s="22">
        <f t="shared" si="0"/>
        <v>50440</v>
      </c>
    </row>
    <row r="30" spans="1:12" x14ac:dyDescent="0.25">
      <c r="A30" t="s">
        <v>2296</v>
      </c>
      <c r="B30" s="7" t="s">
        <v>1221</v>
      </c>
      <c r="C30" s="22">
        <v>900</v>
      </c>
      <c r="D30" s="22">
        <v>600</v>
      </c>
      <c r="E30" s="22">
        <v>600</v>
      </c>
      <c r="F30" s="22">
        <v>0</v>
      </c>
      <c r="G30" s="22">
        <v>1050</v>
      </c>
      <c r="H30" s="21">
        <v>1300</v>
      </c>
      <c r="I30" s="21"/>
      <c r="J30" s="21">
        <v>975</v>
      </c>
      <c r="K30" s="21">
        <v>0</v>
      </c>
      <c r="L30" s="22">
        <f t="shared" si="0"/>
        <v>975</v>
      </c>
    </row>
    <row r="31" spans="1:12" x14ac:dyDescent="0.25">
      <c r="C31" s="22"/>
      <c r="D31" s="22"/>
      <c r="E31" s="22"/>
      <c r="F31" s="22"/>
      <c r="G31" s="22"/>
      <c r="H31" s="21"/>
      <c r="I31" s="21"/>
      <c r="J31" s="21"/>
      <c r="K31" s="21"/>
      <c r="L31" s="22"/>
    </row>
    <row r="32" spans="1:12" x14ac:dyDescent="0.25">
      <c r="C32" s="22"/>
      <c r="D32" s="22"/>
      <c r="E32" s="22"/>
      <c r="F32" s="22"/>
      <c r="G32" s="22"/>
      <c r="H32" s="21"/>
      <c r="I32" s="21"/>
      <c r="J32" s="21"/>
      <c r="K32" s="21"/>
      <c r="L32" s="22"/>
    </row>
    <row r="33" spans="1:12" x14ac:dyDescent="0.25">
      <c r="A33" t="s">
        <v>109</v>
      </c>
      <c r="C33" s="22"/>
      <c r="D33" s="22"/>
      <c r="E33" s="22"/>
      <c r="F33" s="22"/>
      <c r="G33" s="22"/>
      <c r="H33" s="21"/>
      <c r="I33" s="21"/>
      <c r="J33" s="21"/>
      <c r="K33" s="21"/>
      <c r="L33" s="22"/>
    </row>
    <row r="34" spans="1:12" x14ac:dyDescent="0.25">
      <c r="B34" t="s">
        <v>441</v>
      </c>
      <c r="C34" s="20">
        <f t="shared" ref="C34:H34" si="1">SUM(C13:C30)</f>
        <v>85495</v>
      </c>
      <c r="D34" s="20">
        <f t="shared" si="1"/>
        <v>91340</v>
      </c>
      <c r="E34" s="20">
        <f t="shared" si="1"/>
        <v>92443</v>
      </c>
      <c r="F34" s="20">
        <f t="shared" si="1"/>
        <v>96553</v>
      </c>
      <c r="G34" s="20">
        <f t="shared" si="1"/>
        <v>85857.43</v>
      </c>
      <c r="H34" s="20">
        <f t="shared" si="1"/>
        <v>94996</v>
      </c>
      <c r="I34" s="20"/>
      <c r="J34" s="20">
        <f>SUM(J13:J30)</f>
        <v>104802.141</v>
      </c>
      <c r="K34" s="20">
        <f>SUM(K13:K30)</f>
        <v>0</v>
      </c>
      <c r="L34" s="20">
        <f>SUM(L13:L30)</f>
        <v>104802.141</v>
      </c>
    </row>
    <row r="35" spans="1:12" x14ac:dyDescent="0.25">
      <c r="C35" s="22"/>
      <c r="D35" s="22"/>
      <c r="E35" s="22"/>
      <c r="F35" s="22"/>
      <c r="G35" s="22"/>
      <c r="H35" s="21"/>
      <c r="I35" s="21"/>
      <c r="J35" s="21"/>
      <c r="K35" s="21"/>
      <c r="L35" s="22"/>
    </row>
    <row r="36" spans="1:12" x14ac:dyDescent="0.25">
      <c r="A36" t="s">
        <v>478</v>
      </c>
      <c r="C36" s="22"/>
      <c r="D36" s="22"/>
      <c r="E36" s="22"/>
      <c r="F36" s="22"/>
      <c r="G36" s="22"/>
      <c r="H36" s="21"/>
      <c r="I36" s="21"/>
      <c r="J36" s="21"/>
      <c r="K36" s="21"/>
      <c r="L36" s="22"/>
    </row>
    <row r="37" spans="1:12" x14ac:dyDescent="0.25">
      <c r="A37" t="s">
        <v>18</v>
      </c>
      <c r="B37" s="7" t="s">
        <v>21</v>
      </c>
      <c r="C37" s="22"/>
      <c r="D37" s="22"/>
      <c r="E37" s="22"/>
      <c r="F37" s="22"/>
      <c r="G37" s="22"/>
      <c r="H37" s="21"/>
      <c r="I37" s="21"/>
      <c r="J37" s="21"/>
      <c r="K37" s="21"/>
      <c r="L37" s="22"/>
    </row>
    <row r="38" spans="1:12" x14ac:dyDescent="0.25">
      <c r="A38" t="s">
        <v>2297</v>
      </c>
      <c r="B38" s="7" t="s">
        <v>445</v>
      </c>
      <c r="C38" s="22">
        <v>7949</v>
      </c>
      <c r="D38" s="22">
        <v>6796</v>
      </c>
      <c r="E38" s="22">
        <v>9753</v>
      </c>
      <c r="F38" s="22">
        <v>10728</v>
      </c>
      <c r="G38" s="22">
        <v>11430.35</v>
      </c>
      <c r="H38" s="21">
        <v>11430.35</v>
      </c>
      <c r="I38" s="21"/>
      <c r="J38" s="21">
        <f>G38*10%+G38</f>
        <v>12573.385</v>
      </c>
      <c r="K38" s="21">
        <v>0</v>
      </c>
      <c r="L38" s="22">
        <f>SUM(J38+K38)</f>
        <v>12573.385</v>
      </c>
    </row>
    <row r="39" spans="1:12" x14ac:dyDescent="0.25">
      <c r="A39" t="s">
        <v>2298</v>
      </c>
      <c r="B39" s="7" t="s">
        <v>447</v>
      </c>
      <c r="C39" s="22">
        <v>2349</v>
      </c>
      <c r="D39" s="22">
        <v>624</v>
      </c>
      <c r="E39" s="22">
        <v>269</v>
      </c>
      <c r="F39" s="22">
        <v>500</v>
      </c>
      <c r="G39" s="22">
        <v>194.8</v>
      </c>
      <c r="H39" s="21">
        <v>275</v>
      </c>
      <c r="I39" s="21"/>
      <c r="J39" s="21">
        <v>1000</v>
      </c>
      <c r="K39" s="21">
        <v>0</v>
      </c>
      <c r="L39" s="22">
        <f t="shared" ref="L39:L50" si="2">SUM(J39+K39)</f>
        <v>1000</v>
      </c>
    </row>
    <row r="40" spans="1:12" x14ac:dyDescent="0.25">
      <c r="A40" t="s">
        <v>2299</v>
      </c>
      <c r="B40" s="7" t="s">
        <v>449</v>
      </c>
      <c r="C40" s="22">
        <v>325</v>
      </c>
      <c r="D40" s="22">
        <v>417</v>
      </c>
      <c r="E40" s="22">
        <v>0</v>
      </c>
      <c r="F40" s="22">
        <v>350</v>
      </c>
      <c r="G40" s="22">
        <v>0</v>
      </c>
      <c r="H40" s="21">
        <v>0</v>
      </c>
      <c r="I40" s="21"/>
      <c r="J40" s="21">
        <v>1000</v>
      </c>
      <c r="K40" s="21">
        <v>0</v>
      </c>
      <c r="L40" s="22">
        <f t="shared" si="2"/>
        <v>1000</v>
      </c>
    </row>
    <row r="41" spans="1:12" x14ac:dyDescent="0.25">
      <c r="A41" t="s">
        <v>2300</v>
      </c>
      <c r="B41" s="7" t="s">
        <v>451</v>
      </c>
      <c r="C41" s="22">
        <v>575</v>
      </c>
      <c r="D41" s="22">
        <v>931</v>
      </c>
      <c r="E41" s="22">
        <v>50</v>
      </c>
      <c r="F41" s="22">
        <v>1000</v>
      </c>
      <c r="G41" s="22">
        <v>1263.75</v>
      </c>
      <c r="H41" s="21">
        <v>1500</v>
      </c>
      <c r="I41" s="21"/>
      <c r="J41" s="21">
        <v>1500</v>
      </c>
      <c r="K41" s="21">
        <v>0</v>
      </c>
      <c r="L41" s="22">
        <f t="shared" si="2"/>
        <v>1500</v>
      </c>
    </row>
    <row r="42" spans="1:12" x14ac:dyDescent="0.25">
      <c r="A42" t="s">
        <v>2301</v>
      </c>
      <c r="B42" s="7" t="s">
        <v>457</v>
      </c>
      <c r="C42" s="22">
        <v>1250</v>
      </c>
      <c r="D42" s="22">
        <v>5232</v>
      </c>
      <c r="E42" s="22">
        <v>4649</v>
      </c>
      <c r="F42" s="22">
        <v>6000</v>
      </c>
      <c r="G42" s="22">
        <v>6289.72</v>
      </c>
      <c r="H42" s="21">
        <v>6290</v>
      </c>
      <c r="I42" s="21"/>
      <c r="J42" s="21">
        <v>5000</v>
      </c>
      <c r="K42" s="21">
        <v>0</v>
      </c>
      <c r="L42" s="22">
        <f t="shared" si="2"/>
        <v>5000</v>
      </c>
    </row>
    <row r="43" spans="1:12" x14ac:dyDescent="0.25">
      <c r="A43" t="s">
        <v>2302</v>
      </c>
      <c r="B43" s="7" t="s">
        <v>465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1">
        <v>0</v>
      </c>
      <c r="I43" s="21"/>
      <c r="J43" s="21">
        <v>1000</v>
      </c>
      <c r="K43" s="21">
        <v>0</v>
      </c>
      <c r="L43" s="22">
        <f t="shared" si="2"/>
        <v>1000</v>
      </c>
    </row>
    <row r="44" spans="1:12" x14ac:dyDescent="0.25">
      <c r="A44" t="s">
        <v>2303</v>
      </c>
      <c r="B44" s="7" t="s">
        <v>471</v>
      </c>
      <c r="C44" s="22">
        <v>637</v>
      </c>
      <c r="D44" s="22">
        <v>852</v>
      </c>
      <c r="E44" s="22">
        <v>630</v>
      </c>
      <c r="F44" s="22">
        <v>750</v>
      </c>
      <c r="G44" s="22">
        <v>693.5</v>
      </c>
      <c r="H44" s="21">
        <v>1500</v>
      </c>
      <c r="I44" s="21"/>
      <c r="J44" s="21">
        <v>800</v>
      </c>
      <c r="K44" s="21">
        <v>0</v>
      </c>
      <c r="L44" s="22">
        <f t="shared" si="2"/>
        <v>800</v>
      </c>
    </row>
    <row r="45" spans="1:12" x14ac:dyDescent="0.25">
      <c r="A45" t="s">
        <v>2304</v>
      </c>
      <c r="B45" s="7" t="s">
        <v>1047</v>
      </c>
      <c r="C45" s="22">
        <v>86074</v>
      </c>
      <c r="D45" s="22">
        <v>81356</v>
      </c>
      <c r="E45" s="22">
        <v>89120</v>
      </c>
      <c r="F45" s="22">
        <v>100000</v>
      </c>
      <c r="G45" s="22">
        <v>73718.720000000001</v>
      </c>
      <c r="H45" s="21">
        <v>89000</v>
      </c>
      <c r="I45" s="21"/>
      <c r="J45" s="21">
        <v>90000</v>
      </c>
      <c r="K45" s="21">
        <v>0</v>
      </c>
      <c r="L45" s="22">
        <f t="shared" si="2"/>
        <v>90000</v>
      </c>
    </row>
    <row r="46" spans="1:12" x14ac:dyDescent="0.25">
      <c r="A46" t="s">
        <v>2305</v>
      </c>
      <c r="B46" s="7" t="s">
        <v>473</v>
      </c>
      <c r="C46" s="22">
        <v>17080</v>
      </c>
      <c r="D46" s="22">
        <v>28303</v>
      </c>
      <c r="E46" s="22">
        <v>532625</v>
      </c>
      <c r="F46" s="22">
        <v>55000</v>
      </c>
      <c r="G46" s="22">
        <v>89670.63</v>
      </c>
      <c r="H46" s="21">
        <v>93000</v>
      </c>
      <c r="I46" s="21"/>
      <c r="J46" s="21">
        <v>95000</v>
      </c>
      <c r="K46" s="21">
        <v>0</v>
      </c>
      <c r="L46" s="22">
        <f t="shared" si="2"/>
        <v>95000</v>
      </c>
    </row>
    <row r="47" spans="1:12" x14ac:dyDescent="0.25">
      <c r="A47" t="s">
        <v>2306</v>
      </c>
      <c r="B47" s="7" t="s">
        <v>1241</v>
      </c>
      <c r="C47" s="22">
        <v>10314</v>
      </c>
      <c r="D47" s="22">
        <v>7026</v>
      </c>
      <c r="E47" s="22">
        <v>0</v>
      </c>
      <c r="F47" s="22">
        <v>0</v>
      </c>
      <c r="G47" s="22">
        <v>0</v>
      </c>
      <c r="H47" s="21">
        <v>0</v>
      </c>
      <c r="I47" s="21"/>
      <c r="J47" s="21">
        <v>0</v>
      </c>
      <c r="K47" s="21">
        <v>0</v>
      </c>
      <c r="L47" s="22">
        <f t="shared" si="2"/>
        <v>0</v>
      </c>
    </row>
    <row r="48" spans="1:12" x14ac:dyDescent="0.25">
      <c r="A48" t="s">
        <v>2307</v>
      </c>
      <c r="B48" s="7" t="s">
        <v>626</v>
      </c>
      <c r="C48" s="22">
        <v>1392</v>
      </c>
      <c r="D48" s="22">
        <v>674</v>
      </c>
      <c r="E48" s="22">
        <v>1427</v>
      </c>
      <c r="F48" s="22">
        <v>1200</v>
      </c>
      <c r="G48" s="22">
        <v>254.98</v>
      </c>
      <c r="H48" s="21">
        <v>500</v>
      </c>
      <c r="I48" s="21"/>
      <c r="J48" s="21">
        <v>1500</v>
      </c>
      <c r="K48" s="21">
        <v>0</v>
      </c>
      <c r="L48" s="22">
        <f t="shared" si="2"/>
        <v>1500</v>
      </c>
    </row>
    <row r="49" spans="1:12" x14ac:dyDescent="0.25">
      <c r="A49" t="s">
        <v>2308</v>
      </c>
      <c r="B49" s="7" t="s">
        <v>1246</v>
      </c>
      <c r="C49" s="22">
        <v>0</v>
      </c>
      <c r="D49" s="22">
        <v>0</v>
      </c>
      <c r="E49" s="22">
        <v>0</v>
      </c>
      <c r="F49" s="22">
        <v>0</v>
      </c>
      <c r="G49" s="22">
        <v>516.78</v>
      </c>
      <c r="H49" s="21">
        <v>517</v>
      </c>
      <c r="I49" s="21"/>
      <c r="J49" s="21">
        <v>1000</v>
      </c>
      <c r="K49" s="21">
        <v>0</v>
      </c>
      <c r="L49" s="22">
        <f t="shared" si="2"/>
        <v>1000</v>
      </c>
    </row>
    <row r="50" spans="1:12" x14ac:dyDescent="0.25">
      <c r="A50" t="s">
        <v>2309</v>
      </c>
      <c r="B50" s="7" t="s">
        <v>762</v>
      </c>
      <c r="C50" s="22">
        <v>0</v>
      </c>
      <c r="D50" s="22">
        <v>0</v>
      </c>
      <c r="E50" s="22">
        <v>0</v>
      </c>
      <c r="F50" s="22">
        <v>1500</v>
      </c>
      <c r="G50" s="22">
        <v>1102.3599999999999</v>
      </c>
      <c r="H50" s="21">
        <v>1102</v>
      </c>
      <c r="I50" s="21"/>
      <c r="J50" s="21">
        <v>0</v>
      </c>
      <c r="K50" s="21">
        <v>0</v>
      </c>
      <c r="L50" s="22">
        <f t="shared" si="2"/>
        <v>0</v>
      </c>
    </row>
    <row r="51" spans="1:12" x14ac:dyDescent="0.25">
      <c r="C51" s="22"/>
      <c r="D51" s="22"/>
      <c r="E51" s="22"/>
      <c r="F51" s="22"/>
      <c r="G51" s="22"/>
      <c r="H51" s="21"/>
      <c r="I51" s="21"/>
      <c r="J51" s="21"/>
      <c r="K51" s="21"/>
      <c r="L51" s="22"/>
    </row>
    <row r="52" spans="1:12" x14ac:dyDescent="0.25">
      <c r="C52" s="22"/>
      <c r="D52" s="22"/>
      <c r="E52" s="22"/>
      <c r="F52" s="22"/>
      <c r="G52" s="22"/>
      <c r="H52" s="21"/>
      <c r="I52" s="21"/>
      <c r="J52" s="21"/>
      <c r="K52" s="21"/>
      <c r="L52" s="22"/>
    </row>
    <row r="53" spans="1:12" x14ac:dyDescent="0.25">
      <c r="A53" t="s">
        <v>109</v>
      </c>
      <c r="C53" s="22"/>
      <c r="D53" s="22"/>
      <c r="E53" s="22"/>
      <c r="F53" s="22"/>
      <c r="G53" s="22"/>
      <c r="H53" s="21"/>
      <c r="I53" s="21"/>
      <c r="J53" s="21"/>
      <c r="K53" s="21"/>
      <c r="L53" s="22"/>
    </row>
    <row r="54" spans="1:12" x14ac:dyDescent="0.25">
      <c r="B54" t="s">
        <v>478</v>
      </c>
      <c r="C54" s="20">
        <f t="shared" ref="C54:H54" si="3">SUM(C38:C50)</f>
        <v>127945</v>
      </c>
      <c r="D54" s="20">
        <f t="shared" si="3"/>
        <v>132211</v>
      </c>
      <c r="E54" s="20">
        <f t="shared" si="3"/>
        <v>638523</v>
      </c>
      <c r="F54" s="20">
        <f t="shared" si="3"/>
        <v>177028</v>
      </c>
      <c r="G54" s="20">
        <f t="shared" si="3"/>
        <v>185135.59</v>
      </c>
      <c r="H54" s="20">
        <f t="shared" si="3"/>
        <v>205114.35</v>
      </c>
      <c r="I54" s="20"/>
      <c r="J54" s="20">
        <f>SUM(J38:J50)</f>
        <v>210373.38500000001</v>
      </c>
      <c r="K54" s="20">
        <f>SUM(K38:K50)</f>
        <v>0</v>
      </c>
      <c r="L54" s="20">
        <f>SUM(L38:L50)</f>
        <v>210373.38500000001</v>
      </c>
    </row>
    <row r="55" spans="1:12" x14ac:dyDescent="0.25">
      <c r="C55" s="22"/>
      <c r="D55" s="22"/>
      <c r="E55" s="22"/>
      <c r="F55" s="22"/>
      <c r="G55" s="22"/>
      <c r="H55" s="21"/>
      <c r="I55" s="21"/>
      <c r="J55" s="21"/>
      <c r="K55" s="21"/>
      <c r="L55" s="22"/>
    </row>
    <row r="56" spans="1:12" x14ac:dyDescent="0.25">
      <c r="A56" t="s">
        <v>489</v>
      </c>
      <c r="C56" s="22"/>
      <c r="D56" s="22"/>
      <c r="E56" s="22"/>
      <c r="F56" s="22"/>
      <c r="G56" s="22"/>
      <c r="H56" s="21"/>
      <c r="I56" s="21"/>
      <c r="J56" s="21"/>
      <c r="K56" s="21"/>
      <c r="L56" s="22"/>
    </row>
    <row r="57" spans="1:12" x14ac:dyDescent="0.25">
      <c r="A57" t="s">
        <v>18</v>
      </c>
      <c r="C57" s="22"/>
      <c r="D57" s="22"/>
      <c r="E57" s="22"/>
      <c r="F57" s="22"/>
      <c r="G57" s="22"/>
      <c r="H57" s="21"/>
      <c r="I57" s="21"/>
      <c r="J57" s="21"/>
      <c r="K57" s="21"/>
      <c r="L57" s="22"/>
    </row>
    <row r="58" spans="1:12" x14ac:dyDescent="0.25">
      <c r="A58" t="s">
        <v>2310</v>
      </c>
      <c r="B58" s="7" t="s">
        <v>489</v>
      </c>
      <c r="C58" s="22">
        <v>3962</v>
      </c>
      <c r="D58" s="22">
        <v>8187</v>
      </c>
      <c r="E58" s="22">
        <v>5561</v>
      </c>
      <c r="F58" s="22">
        <v>5000</v>
      </c>
      <c r="G58" s="22">
        <v>3367.86</v>
      </c>
      <c r="H58" s="21">
        <v>4000</v>
      </c>
      <c r="I58" s="21"/>
      <c r="J58" s="21">
        <v>5000</v>
      </c>
      <c r="K58" s="21">
        <v>0</v>
      </c>
      <c r="L58" s="22">
        <f>SUM(J58+K58)</f>
        <v>5000</v>
      </c>
    </row>
    <row r="59" spans="1:12" x14ac:dyDescent="0.25">
      <c r="A59" t="s">
        <v>2311</v>
      </c>
      <c r="B59" s="7" t="s">
        <v>1252</v>
      </c>
      <c r="C59" s="22">
        <v>0</v>
      </c>
      <c r="D59" s="22">
        <v>50</v>
      </c>
      <c r="E59" s="22">
        <v>1876</v>
      </c>
      <c r="F59" s="22">
        <v>1000</v>
      </c>
      <c r="G59" s="22">
        <v>147.03</v>
      </c>
      <c r="H59" s="21">
        <v>500</v>
      </c>
      <c r="I59" s="21"/>
      <c r="J59" s="21">
        <v>1000</v>
      </c>
      <c r="K59" s="21">
        <v>0</v>
      </c>
      <c r="L59" s="22">
        <f t="shared" ref="L59:L63" si="4">SUM(J59+K59)</f>
        <v>1000</v>
      </c>
    </row>
    <row r="60" spans="1:12" x14ac:dyDescent="0.25">
      <c r="A60" t="s">
        <v>2312</v>
      </c>
      <c r="B60" s="7" t="s">
        <v>496</v>
      </c>
      <c r="C60" s="22">
        <v>5848</v>
      </c>
      <c r="D60" s="22">
        <v>2589</v>
      </c>
      <c r="E60" s="22">
        <v>2435</v>
      </c>
      <c r="F60" s="22">
        <v>3000</v>
      </c>
      <c r="G60" s="22">
        <v>2009</v>
      </c>
      <c r="H60" s="21">
        <v>2600</v>
      </c>
      <c r="I60" s="21"/>
      <c r="J60" s="21">
        <v>3000</v>
      </c>
      <c r="K60" s="21">
        <v>0</v>
      </c>
      <c r="L60" s="22">
        <f t="shared" si="4"/>
        <v>3000</v>
      </c>
    </row>
    <row r="61" spans="1:12" x14ac:dyDescent="0.25">
      <c r="A61" t="s">
        <v>2313</v>
      </c>
      <c r="B61" s="7" t="s">
        <v>1259</v>
      </c>
      <c r="C61" s="22">
        <v>41948</v>
      </c>
      <c r="D61" s="22">
        <v>58713</v>
      </c>
      <c r="E61" s="22">
        <v>37862</v>
      </c>
      <c r="F61" s="22">
        <v>65000</v>
      </c>
      <c r="G61" s="22">
        <v>32450</v>
      </c>
      <c r="H61" s="21">
        <v>35000</v>
      </c>
      <c r="I61" s="21"/>
      <c r="J61" s="21">
        <v>60000</v>
      </c>
      <c r="K61" s="21">
        <v>0</v>
      </c>
      <c r="L61" s="22">
        <f t="shared" si="4"/>
        <v>60000</v>
      </c>
    </row>
    <row r="62" spans="1:12" hidden="1" x14ac:dyDescent="0.25">
      <c r="A62" t="s">
        <v>2314</v>
      </c>
      <c r="B62" s="7" t="s">
        <v>498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1">
        <v>0</v>
      </c>
      <c r="I62" s="21"/>
      <c r="J62" s="21">
        <v>0</v>
      </c>
      <c r="K62" s="21">
        <v>0</v>
      </c>
      <c r="L62" s="22">
        <f t="shared" si="4"/>
        <v>0</v>
      </c>
    </row>
    <row r="63" spans="1:12" hidden="1" x14ac:dyDescent="0.25">
      <c r="A63" t="s">
        <v>2315</v>
      </c>
      <c r="B63" s="7" t="s">
        <v>500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1">
        <v>0</v>
      </c>
      <c r="I63" s="21"/>
      <c r="J63" s="21">
        <v>0</v>
      </c>
      <c r="K63" s="21">
        <v>0</v>
      </c>
      <c r="L63" s="22">
        <f t="shared" si="4"/>
        <v>0</v>
      </c>
    </row>
    <row r="64" spans="1:12" x14ac:dyDescent="0.25">
      <c r="C64" s="22"/>
      <c r="D64" s="22"/>
      <c r="E64" s="22"/>
      <c r="F64" s="22"/>
      <c r="G64" s="22"/>
      <c r="H64" s="21"/>
      <c r="I64" s="21"/>
      <c r="J64" s="21"/>
      <c r="K64" s="21"/>
      <c r="L64" s="22"/>
    </row>
    <row r="65" spans="1:12" x14ac:dyDescent="0.25">
      <c r="C65" s="22"/>
      <c r="D65" s="22"/>
      <c r="E65" s="22"/>
      <c r="F65" s="22"/>
      <c r="G65" s="22"/>
      <c r="H65" s="21"/>
      <c r="I65" s="21"/>
      <c r="J65" s="21"/>
      <c r="K65" s="21"/>
      <c r="L65" s="22"/>
    </row>
    <row r="66" spans="1:12" x14ac:dyDescent="0.25">
      <c r="A66" t="s">
        <v>109</v>
      </c>
      <c r="C66" s="22"/>
      <c r="D66" s="22"/>
      <c r="E66" s="22"/>
      <c r="F66" s="22"/>
      <c r="G66" s="22"/>
      <c r="H66" s="21"/>
      <c r="I66" s="21"/>
      <c r="J66" s="21"/>
      <c r="K66" s="21"/>
      <c r="L66" s="22"/>
    </row>
    <row r="67" spans="1:12" x14ac:dyDescent="0.25">
      <c r="B67" t="s">
        <v>489</v>
      </c>
      <c r="C67" s="20">
        <f t="shared" ref="C67:H67" si="5">SUM(C58:C63)</f>
        <v>51758</v>
      </c>
      <c r="D67" s="20">
        <f t="shared" si="5"/>
        <v>69539</v>
      </c>
      <c r="E67" s="20">
        <f t="shared" si="5"/>
        <v>47734</v>
      </c>
      <c r="F67" s="20">
        <f t="shared" si="5"/>
        <v>74000</v>
      </c>
      <c r="G67" s="20">
        <f t="shared" si="5"/>
        <v>37973.89</v>
      </c>
      <c r="H67" s="20">
        <f t="shared" si="5"/>
        <v>42100</v>
      </c>
      <c r="I67" s="20"/>
      <c r="J67" s="20">
        <f>SUM(J58:J63)</f>
        <v>69000</v>
      </c>
      <c r="K67" s="20">
        <f>SUM(K58:K63)</f>
        <v>0</v>
      </c>
      <c r="L67" s="20">
        <f>SUM(L58:L63)</f>
        <v>69000</v>
      </c>
    </row>
    <row r="68" spans="1:12" x14ac:dyDescent="0.25">
      <c r="A68" t="s">
        <v>110</v>
      </c>
      <c r="C68" s="22"/>
      <c r="D68" s="22"/>
      <c r="E68" s="22"/>
      <c r="F68" s="22"/>
      <c r="G68" s="22"/>
      <c r="H68" s="21"/>
      <c r="I68" s="21"/>
      <c r="J68" s="21"/>
      <c r="K68" s="21"/>
      <c r="L68" s="22"/>
    </row>
    <row r="69" spans="1:12" x14ac:dyDescent="0.25">
      <c r="A69" t="s">
        <v>501</v>
      </c>
      <c r="C69" s="22"/>
      <c r="D69" s="22"/>
      <c r="E69" s="22"/>
      <c r="F69" s="22"/>
      <c r="G69" s="22"/>
      <c r="H69" s="21"/>
      <c r="I69" s="21"/>
      <c r="J69" s="21"/>
      <c r="K69" s="21"/>
      <c r="L69" s="22"/>
    </row>
    <row r="70" spans="1:12" x14ac:dyDescent="0.25">
      <c r="A70" t="s">
        <v>18</v>
      </c>
      <c r="C70" s="22"/>
      <c r="D70" s="22"/>
      <c r="E70" s="22"/>
      <c r="F70" s="22"/>
      <c r="G70" s="22"/>
      <c r="H70" s="21"/>
      <c r="I70" s="21"/>
      <c r="J70" s="21"/>
      <c r="K70" s="21"/>
      <c r="L70" s="22"/>
    </row>
    <row r="71" spans="1:12" x14ac:dyDescent="0.25">
      <c r="A71" t="s">
        <v>2316</v>
      </c>
      <c r="B71" s="7" t="s">
        <v>2261</v>
      </c>
      <c r="C71" s="22">
        <v>10157</v>
      </c>
      <c r="D71" s="22">
        <v>6769</v>
      </c>
      <c r="E71" s="22">
        <v>7979</v>
      </c>
      <c r="F71" s="22">
        <v>11000</v>
      </c>
      <c r="G71" s="22">
        <v>9679.8799999999992</v>
      </c>
      <c r="H71" s="21">
        <v>10750</v>
      </c>
      <c r="I71" s="21"/>
      <c r="J71" s="21">
        <v>13000</v>
      </c>
      <c r="K71" s="21">
        <v>0</v>
      </c>
      <c r="L71" s="22">
        <f>SUM(J71+K71)</f>
        <v>13000</v>
      </c>
    </row>
    <row r="72" spans="1:12" x14ac:dyDescent="0.25">
      <c r="A72" t="s">
        <v>2317</v>
      </c>
      <c r="B72" s="7" t="s">
        <v>509</v>
      </c>
      <c r="C72" s="22">
        <v>21038</v>
      </c>
      <c r="D72" s="22">
        <v>30495</v>
      </c>
      <c r="E72" s="22">
        <v>31955</v>
      </c>
      <c r="F72" s="22">
        <v>32000</v>
      </c>
      <c r="G72" s="22">
        <v>4290</v>
      </c>
      <c r="H72" s="21">
        <v>5000</v>
      </c>
      <c r="I72" s="21"/>
      <c r="J72" s="21">
        <v>32000</v>
      </c>
      <c r="K72" s="21">
        <v>0</v>
      </c>
      <c r="L72" s="22">
        <f t="shared" ref="L72:L77" si="6">SUM(J72+K72)</f>
        <v>32000</v>
      </c>
    </row>
    <row r="73" spans="1:12" x14ac:dyDescent="0.25">
      <c r="A73" t="s">
        <v>2318</v>
      </c>
      <c r="B73" s="7" t="s">
        <v>2264</v>
      </c>
      <c r="C73" s="22">
        <v>0</v>
      </c>
      <c r="D73" s="22">
        <v>0</v>
      </c>
      <c r="E73" s="22">
        <v>87188</v>
      </c>
      <c r="F73" s="22">
        <v>175000</v>
      </c>
      <c r="G73" s="22">
        <v>151874.99</v>
      </c>
      <c r="H73" s="21">
        <v>175000</v>
      </c>
      <c r="I73" s="21"/>
      <c r="J73" s="21">
        <v>180000</v>
      </c>
      <c r="K73" s="21">
        <v>0</v>
      </c>
      <c r="L73" s="22">
        <f t="shared" si="6"/>
        <v>180000</v>
      </c>
    </row>
    <row r="74" spans="1:12" x14ac:dyDescent="0.25">
      <c r="A74" t="s">
        <v>2319</v>
      </c>
      <c r="B74" s="7" t="s">
        <v>1880</v>
      </c>
      <c r="C74" s="22">
        <v>153783</v>
      </c>
      <c r="D74" s="22">
        <v>161875</v>
      </c>
      <c r="E74" s="22">
        <v>117281</v>
      </c>
      <c r="F74" s="22">
        <v>120000</v>
      </c>
      <c r="G74" s="22">
        <v>64153.38</v>
      </c>
      <c r="H74" s="21">
        <v>71750</v>
      </c>
      <c r="I74" s="21"/>
      <c r="J74" s="21">
        <v>120000</v>
      </c>
      <c r="K74" s="21">
        <v>0</v>
      </c>
      <c r="L74" s="22">
        <f t="shared" si="6"/>
        <v>120000</v>
      </c>
    </row>
    <row r="75" spans="1:12" x14ac:dyDescent="0.25">
      <c r="A75" t="s">
        <v>2320</v>
      </c>
      <c r="B75" s="7" t="s">
        <v>519</v>
      </c>
      <c r="C75" s="22">
        <v>0</v>
      </c>
      <c r="D75" s="22">
        <v>0</v>
      </c>
      <c r="E75" s="22">
        <v>0</v>
      </c>
      <c r="F75" s="22">
        <v>5000</v>
      </c>
      <c r="G75" s="22">
        <v>611.29999999999995</v>
      </c>
      <c r="H75" s="21">
        <v>1000</v>
      </c>
      <c r="I75" s="21"/>
      <c r="J75" s="21">
        <v>5000</v>
      </c>
      <c r="K75" s="21">
        <v>0</v>
      </c>
      <c r="L75" s="22">
        <f t="shared" si="6"/>
        <v>5000</v>
      </c>
    </row>
    <row r="76" spans="1:12" x14ac:dyDescent="0.25">
      <c r="A76" t="s">
        <v>2321</v>
      </c>
      <c r="B76" s="7" t="s">
        <v>521</v>
      </c>
      <c r="C76" s="22">
        <v>0</v>
      </c>
      <c r="D76" s="22">
        <v>0</v>
      </c>
      <c r="E76" s="22">
        <v>0</v>
      </c>
      <c r="F76" s="22">
        <v>300</v>
      </c>
      <c r="G76" s="22">
        <v>0</v>
      </c>
      <c r="H76" s="21">
        <v>0</v>
      </c>
      <c r="I76" s="21"/>
      <c r="J76" s="21">
        <v>1000</v>
      </c>
      <c r="K76" s="21">
        <v>0</v>
      </c>
      <c r="L76" s="22">
        <f t="shared" si="6"/>
        <v>1000</v>
      </c>
    </row>
    <row r="77" spans="1:12" x14ac:dyDescent="0.25">
      <c r="A77" t="s">
        <v>2322</v>
      </c>
      <c r="B77" s="7" t="s">
        <v>1085</v>
      </c>
      <c r="C77" s="22">
        <v>0</v>
      </c>
      <c r="D77" s="22">
        <v>0</v>
      </c>
      <c r="E77" s="22">
        <v>0</v>
      </c>
      <c r="F77" s="22">
        <v>5000</v>
      </c>
      <c r="G77" s="22">
        <v>500</v>
      </c>
      <c r="H77" s="21">
        <v>1000</v>
      </c>
      <c r="I77" s="21"/>
      <c r="J77" s="21">
        <v>30000</v>
      </c>
      <c r="K77" s="21">
        <v>0</v>
      </c>
      <c r="L77" s="22">
        <f t="shared" si="6"/>
        <v>30000</v>
      </c>
    </row>
    <row r="78" spans="1:12" x14ac:dyDescent="0.25">
      <c r="C78" s="22"/>
      <c r="D78" s="22"/>
      <c r="E78" s="22"/>
      <c r="F78" s="22"/>
      <c r="G78" s="22"/>
      <c r="H78" s="21"/>
      <c r="I78" s="21"/>
      <c r="J78" s="21"/>
      <c r="K78" s="21"/>
      <c r="L78" s="22"/>
    </row>
    <row r="79" spans="1:12" x14ac:dyDescent="0.25">
      <c r="C79" s="22"/>
      <c r="D79" s="22"/>
      <c r="E79" s="22"/>
      <c r="F79" s="22"/>
      <c r="G79" s="22"/>
      <c r="H79" s="21"/>
      <c r="I79" s="21"/>
      <c r="J79" s="21"/>
      <c r="K79" s="21"/>
      <c r="L79" s="22"/>
    </row>
    <row r="80" spans="1:12" x14ac:dyDescent="0.25">
      <c r="A80" t="s">
        <v>109</v>
      </c>
      <c r="C80" s="22"/>
      <c r="D80" s="22"/>
      <c r="E80" s="22"/>
      <c r="F80" s="22"/>
      <c r="G80" s="22"/>
      <c r="H80" s="21"/>
      <c r="I80" s="21"/>
      <c r="J80" s="21"/>
      <c r="K80" s="21"/>
      <c r="L80" s="22"/>
    </row>
    <row r="81" spans="1:12" x14ac:dyDescent="0.25">
      <c r="B81" t="s">
        <v>501</v>
      </c>
      <c r="C81" s="20">
        <f t="shared" ref="C81:H81" si="7">SUM(C71:C77)</f>
        <v>184978</v>
      </c>
      <c r="D81" s="20">
        <f t="shared" si="7"/>
        <v>199139</v>
      </c>
      <c r="E81" s="20">
        <f t="shared" si="7"/>
        <v>244403</v>
      </c>
      <c r="F81" s="20">
        <f t="shared" si="7"/>
        <v>348300</v>
      </c>
      <c r="G81" s="20">
        <f t="shared" si="7"/>
        <v>231109.55</v>
      </c>
      <c r="H81" s="20">
        <f t="shared" si="7"/>
        <v>264500</v>
      </c>
      <c r="I81" s="20"/>
      <c r="J81" s="20">
        <f>SUM(J71:J77)</f>
        <v>381000</v>
      </c>
      <c r="K81" s="20">
        <f>SUM(K71:K77)</f>
        <v>0</v>
      </c>
      <c r="L81" s="20">
        <f>SUM(L71:L77)</f>
        <v>381000</v>
      </c>
    </row>
    <row r="82" spans="1:12" x14ac:dyDescent="0.25">
      <c r="C82" s="22"/>
      <c r="D82" s="22"/>
      <c r="E82" s="22"/>
      <c r="F82" s="22"/>
      <c r="G82" s="22"/>
      <c r="H82" s="21"/>
      <c r="I82" s="21"/>
      <c r="J82" s="21"/>
      <c r="K82" s="21"/>
      <c r="L82" s="22"/>
    </row>
    <row r="83" spans="1:12" x14ac:dyDescent="0.25">
      <c r="A83" t="s">
        <v>530</v>
      </c>
      <c r="C83" s="22"/>
      <c r="D83" s="22"/>
      <c r="E83" s="22"/>
      <c r="F83" s="22"/>
      <c r="G83" s="22"/>
      <c r="H83" s="21"/>
      <c r="I83" s="21"/>
      <c r="J83" s="21"/>
      <c r="K83" s="21"/>
      <c r="L83" s="22"/>
    </row>
    <row r="84" spans="1:12" x14ac:dyDescent="0.25">
      <c r="A84" t="s">
        <v>18</v>
      </c>
      <c r="B84" s="7" t="s">
        <v>526</v>
      </c>
      <c r="C84" s="22"/>
      <c r="D84" s="22"/>
      <c r="E84" s="22"/>
      <c r="F84" s="22"/>
      <c r="G84" s="22"/>
      <c r="H84" s="21"/>
      <c r="I84" s="21"/>
      <c r="J84" s="21"/>
      <c r="K84" s="21"/>
      <c r="L84" s="22"/>
    </row>
    <row r="85" spans="1:12" hidden="1" x14ac:dyDescent="0.25">
      <c r="A85" t="s">
        <v>2323</v>
      </c>
      <c r="B85" s="7" t="s">
        <v>2324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1">
        <v>0</v>
      </c>
      <c r="I85" s="21"/>
      <c r="J85" s="21">
        <v>0</v>
      </c>
      <c r="K85" s="21">
        <v>0</v>
      </c>
      <c r="L85" s="22">
        <f>SUM(J85+K85)</f>
        <v>0</v>
      </c>
    </row>
    <row r="86" spans="1:12" hidden="1" x14ac:dyDescent="0.25">
      <c r="A86" t="s">
        <v>2325</v>
      </c>
      <c r="B86" s="7" t="s">
        <v>1885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1">
        <v>0</v>
      </c>
      <c r="I86" s="21"/>
      <c r="J86" s="21">
        <v>0</v>
      </c>
      <c r="K86" s="21">
        <v>0</v>
      </c>
      <c r="L86" s="22">
        <f t="shared" ref="L86:L89" si="8">SUM(J86+K86)</f>
        <v>0</v>
      </c>
    </row>
    <row r="87" spans="1:12" x14ac:dyDescent="0.25">
      <c r="A87" t="s">
        <v>2326</v>
      </c>
      <c r="B87" s="7" t="s">
        <v>1282</v>
      </c>
      <c r="C87" s="22">
        <v>0</v>
      </c>
      <c r="D87" s="22">
        <v>0</v>
      </c>
      <c r="E87" s="22">
        <v>0</v>
      </c>
      <c r="F87" s="22">
        <v>104000</v>
      </c>
      <c r="G87" s="22">
        <v>0</v>
      </c>
      <c r="H87" s="21">
        <v>0</v>
      </c>
      <c r="I87" s="21"/>
      <c r="J87" s="21">
        <v>0</v>
      </c>
      <c r="K87" s="21">
        <v>300000</v>
      </c>
      <c r="L87" s="22">
        <f t="shared" si="8"/>
        <v>300000</v>
      </c>
    </row>
    <row r="88" spans="1:12" x14ac:dyDescent="0.25">
      <c r="A88" t="s">
        <v>2327</v>
      </c>
      <c r="B88" s="7" t="s">
        <v>534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1">
        <v>0</v>
      </c>
      <c r="I88" s="21"/>
      <c r="J88" s="21">
        <v>0</v>
      </c>
      <c r="K88" s="21">
        <v>0</v>
      </c>
      <c r="L88" s="22">
        <f t="shared" si="8"/>
        <v>0</v>
      </c>
    </row>
    <row r="89" spans="1:12" x14ac:dyDescent="0.25">
      <c r="A89" t="s">
        <v>2328</v>
      </c>
      <c r="B89" s="7" t="s">
        <v>2329</v>
      </c>
      <c r="C89" s="22">
        <v>0</v>
      </c>
      <c r="D89" s="22">
        <v>0</v>
      </c>
      <c r="E89" s="22">
        <v>106153</v>
      </c>
      <c r="F89" s="22">
        <v>150000</v>
      </c>
      <c r="G89" s="22">
        <v>0</v>
      </c>
      <c r="H89" s="21">
        <v>0</v>
      </c>
      <c r="I89" s="21"/>
      <c r="J89" s="21">
        <v>2850000</v>
      </c>
      <c r="K89" s="21">
        <v>0</v>
      </c>
      <c r="L89" s="22">
        <f t="shared" si="8"/>
        <v>2850000</v>
      </c>
    </row>
    <row r="90" spans="1:12" x14ac:dyDescent="0.25">
      <c r="C90" s="22"/>
      <c r="D90" s="22"/>
      <c r="E90" s="22"/>
      <c r="F90" s="22"/>
      <c r="G90" s="22"/>
      <c r="H90" s="21"/>
      <c r="I90" s="21"/>
      <c r="J90" s="21"/>
      <c r="K90" s="21"/>
      <c r="L90" s="22"/>
    </row>
    <row r="91" spans="1:12" x14ac:dyDescent="0.25">
      <c r="C91" s="22"/>
      <c r="D91" s="22"/>
      <c r="E91" s="22"/>
      <c r="F91" s="22"/>
      <c r="G91" s="22"/>
      <c r="H91" s="21"/>
      <c r="I91" s="21"/>
      <c r="J91" s="21"/>
      <c r="K91" s="21"/>
      <c r="L91" s="22"/>
    </row>
    <row r="92" spans="1:12" x14ac:dyDescent="0.25">
      <c r="A92" t="s">
        <v>109</v>
      </c>
      <c r="C92" s="22"/>
      <c r="D92" s="22"/>
      <c r="E92" s="22"/>
      <c r="F92" s="22"/>
      <c r="G92" s="22"/>
      <c r="H92" s="21"/>
      <c r="I92" s="21"/>
      <c r="J92" s="21"/>
      <c r="K92" s="21"/>
      <c r="L92" s="22"/>
    </row>
    <row r="93" spans="1:12" x14ac:dyDescent="0.25">
      <c r="B93" t="s">
        <v>530</v>
      </c>
      <c r="C93" s="20">
        <f t="shared" ref="C93:H93" si="9">SUM(C85:C89)</f>
        <v>0</v>
      </c>
      <c r="D93" s="20">
        <f t="shared" si="9"/>
        <v>0</v>
      </c>
      <c r="E93" s="20">
        <f t="shared" si="9"/>
        <v>106153</v>
      </c>
      <c r="F93" s="20">
        <f t="shared" si="9"/>
        <v>254000</v>
      </c>
      <c r="G93" s="20">
        <f t="shared" si="9"/>
        <v>0</v>
      </c>
      <c r="H93" s="20">
        <f t="shared" si="9"/>
        <v>0</v>
      </c>
      <c r="I93" s="20"/>
      <c r="J93" s="20">
        <f>SUM(J85:J89)</f>
        <v>2850000</v>
      </c>
      <c r="K93" s="20">
        <f>SUM(K85:K89)</f>
        <v>300000</v>
      </c>
      <c r="L93" s="20">
        <f>SUM(L85:L89)</f>
        <v>3150000</v>
      </c>
    </row>
    <row r="94" spans="1:12" x14ac:dyDescent="0.25">
      <c r="C94" s="22"/>
      <c r="D94" s="22"/>
      <c r="E94" s="22"/>
      <c r="F94" s="22"/>
      <c r="G94" s="22"/>
      <c r="H94" s="21"/>
      <c r="I94" s="21"/>
      <c r="J94" s="21"/>
      <c r="K94" s="21"/>
      <c r="L94" s="22"/>
    </row>
    <row r="95" spans="1:12" x14ac:dyDescent="0.25">
      <c r="C95" s="22"/>
      <c r="D95" s="22"/>
      <c r="E95" s="22"/>
      <c r="F95" s="22"/>
      <c r="G95" s="22"/>
      <c r="H95" s="21"/>
      <c r="I95" s="21"/>
      <c r="J95" s="21"/>
      <c r="K95" s="21"/>
      <c r="L95" s="22"/>
    </row>
    <row r="96" spans="1:12" x14ac:dyDescent="0.25">
      <c r="A96" t="s">
        <v>109</v>
      </c>
      <c r="C96" s="22"/>
      <c r="D96" s="22"/>
      <c r="E96" s="22"/>
      <c r="F96" s="22"/>
      <c r="G96" s="22"/>
      <c r="H96" s="21"/>
      <c r="I96" s="21"/>
      <c r="J96" s="21"/>
      <c r="K96" s="21"/>
      <c r="L96" s="22"/>
    </row>
    <row r="97" spans="1:12" x14ac:dyDescent="0.25">
      <c r="A97">
        <v>69</v>
      </c>
      <c r="B97" t="s">
        <v>3750</v>
      </c>
      <c r="C97" s="20">
        <f t="shared" ref="C97:H97" si="10">C34+C54+C67+C81+C93</f>
        <v>450176</v>
      </c>
      <c r="D97" s="20">
        <f t="shared" si="10"/>
        <v>492229</v>
      </c>
      <c r="E97" s="20">
        <f t="shared" si="10"/>
        <v>1129256</v>
      </c>
      <c r="F97" s="20">
        <f t="shared" si="10"/>
        <v>949881</v>
      </c>
      <c r="G97" s="20">
        <f t="shared" si="10"/>
        <v>540076.46</v>
      </c>
      <c r="H97" s="20">
        <f t="shared" si="10"/>
        <v>606710.35</v>
      </c>
      <c r="I97" s="20"/>
      <c r="J97" s="20">
        <f>J34+J54+J67+J81+J93</f>
        <v>3615175.5260000001</v>
      </c>
      <c r="K97" s="20">
        <f>K34+K54+K67+K81+K93</f>
        <v>300000</v>
      </c>
      <c r="L97" s="20">
        <f>L34+L54+L67+L81+L93</f>
        <v>3915175.5260000001</v>
      </c>
    </row>
    <row r="98" spans="1:12" x14ac:dyDescent="0.25">
      <c r="C98" s="22"/>
      <c r="D98" s="22"/>
      <c r="E98" s="22"/>
      <c r="F98" s="22"/>
      <c r="G98" s="22"/>
      <c r="H98" s="21"/>
      <c r="I98" s="21"/>
      <c r="J98" s="21"/>
      <c r="K98" s="21"/>
      <c r="L98" s="22"/>
    </row>
  </sheetData>
  <sheetProtection algorithmName="SHA-512" hashValue="dkgeLvrhP2siO6Zc+BDfS/sPPuIZxbNHICq9q+2VPGJb8bxZAFmsS6te3yChZqCQz9EM1TNKZhb5UmeY291a1Q==" saltValue="ucEhThSgZVMiFqbkWtcQGQ==" spinCount="100000" sheet="1" insertRows="0"/>
  <pageMargins left="0.25" right="0.25" top="0.75" bottom="0.75" header="0.3" footer="0.3"/>
  <pageSetup scale="75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2862-1496-4F46-9964-6D3878B014B6}">
  <sheetPr>
    <pageSetUpPr fitToPage="1"/>
  </sheetPr>
  <dimension ref="A1:L106"/>
  <sheetViews>
    <sheetView zoomScaleNormal="100" workbookViewId="0">
      <selection activeCell="J53" sqref="J53"/>
    </sheetView>
  </sheetViews>
  <sheetFormatPr defaultRowHeight="15" x14ac:dyDescent="0.25"/>
  <cols>
    <col min="2" max="2" width="32.5703125" style="7" bestFit="1" customWidth="1"/>
    <col min="3" max="3" width="14.28515625" style="12" bestFit="1" customWidth="1"/>
    <col min="4" max="4" width="15" style="12" bestFit="1" customWidth="1"/>
    <col min="5" max="5" width="14" style="12" bestFit="1" customWidth="1"/>
    <col min="6" max="6" width="14.28515625" style="12" bestFit="1" customWidth="1"/>
    <col min="7" max="7" width="12.85546875" style="12" bestFit="1" customWidth="1"/>
    <col min="8" max="8" width="13.28515625" style="11" bestFit="1" customWidth="1"/>
    <col min="9" max="9" width="12.5703125" style="11" bestFit="1" customWidth="1"/>
    <col min="10" max="10" width="13.28515625" style="11" bestFit="1" customWidth="1"/>
    <col min="11" max="11" width="14.7109375" style="11" bestFit="1" customWidth="1"/>
    <col min="12" max="12" width="14.140625" style="12" bestFit="1" customWidth="1"/>
  </cols>
  <sheetData>
    <row r="1" spans="1:12" x14ac:dyDescent="0.25">
      <c r="A1" t="s">
        <v>3726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2000</v>
      </c>
    </row>
    <row r="11" spans="1:12" x14ac:dyDescent="0.25">
      <c r="A11" t="s">
        <v>441</v>
      </c>
    </row>
    <row r="12" spans="1:12" x14ac:dyDescent="0.25">
      <c r="A12" t="s">
        <v>18</v>
      </c>
      <c r="B12" s="7" t="s">
        <v>228</v>
      </c>
      <c r="C12" s="22"/>
      <c r="D12" s="22"/>
      <c r="E12" s="22"/>
      <c r="F12" s="22"/>
      <c r="G12" s="22"/>
      <c r="H12" s="21"/>
      <c r="I12" s="21"/>
      <c r="J12" s="21"/>
      <c r="K12" s="21"/>
      <c r="L12" s="22"/>
    </row>
    <row r="13" spans="1:12" x14ac:dyDescent="0.25">
      <c r="A13" t="s">
        <v>2330</v>
      </c>
      <c r="B13" s="7" t="s">
        <v>569</v>
      </c>
      <c r="C13" s="22">
        <v>10435</v>
      </c>
      <c r="D13" s="22">
        <v>-7125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2331</v>
      </c>
      <c r="B14" s="7" t="s">
        <v>396</v>
      </c>
      <c r="C14" s="22">
        <v>36</v>
      </c>
      <c r="D14" s="22">
        <v>27</v>
      </c>
      <c r="E14" s="22">
        <v>717</v>
      </c>
      <c r="F14" s="22">
        <v>2016</v>
      </c>
      <c r="G14" s="22">
        <v>555.57000000000005</v>
      </c>
      <c r="H14" s="21">
        <v>600</v>
      </c>
      <c r="I14" s="21"/>
      <c r="J14" s="21">
        <v>504</v>
      </c>
      <c r="K14" s="21">
        <v>0</v>
      </c>
      <c r="L14" s="22">
        <f t="shared" ref="L14:L32" si="0">SUM(J14+K14)</f>
        <v>504</v>
      </c>
    </row>
    <row r="15" spans="1:12" x14ac:dyDescent="0.25">
      <c r="A15" t="s">
        <v>2332</v>
      </c>
      <c r="B15" s="7" t="s">
        <v>398</v>
      </c>
      <c r="C15" s="22">
        <v>13966</v>
      </c>
      <c r="D15" s="22">
        <v>13824</v>
      </c>
      <c r="E15" s="22">
        <v>23353</v>
      </c>
      <c r="F15" s="22">
        <v>31040</v>
      </c>
      <c r="G15" s="22">
        <v>23650.73</v>
      </c>
      <c r="H15" s="21">
        <v>27000</v>
      </c>
      <c r="I15" s="21"/>
      <c r="J15" s="21">
        <v>31068.73</v>
      </c>
      <c r="K15" s="21">
        <v>0</v>
      </c>
      <c r="L15" s="22">
        <f t="shared" si="0"/>
        <v>31068.73</v>
      </c>
    </row>
    <row r="16" spans="1:12" x14ac:dyDescent="0.25">
      <c r="A16" t="s">
        <v>2333</v>
      </c>
      <c r="B16" s="7" t="s">
        <v>400</v>
      </c>
      <c r="C16" s="22">
        <v>15089</v>
      </c>
      <c r="D16" s="22">
        <v>15150</v>
      </c>
      <c r="E16" s="22">
        <v>27383</v>
      </c>
      <c r="F16" s="22">
        <v>38506</v>
      </c>
      <c r="G16" s="22">
        <v>23877.52</v>
      </c>
      <c r="H16" s="21">
        <v>28500</v>
      </c>
      <c r="I16" s="21"/>
      <c r="J16" s="21">
        <f>9392.35+27490.47</f>
        <v>36882.82</v>
      </c>
      <c r="K16" s="21">
        <v>0</v>
      </c>
      <c r="L16" s="22">
        <f t="shared" si="0"/>
        <v>36882.82</v>
      </c>
    </row>
    <row r="17" spans="1:12" x14ac:dyDescent="0.25">
      <c r="A17" t="s">
        <v>2334</v>
      </c>
      <c r="B17" s="7" t="s">
        <v>574</v>
      </c>
      <c r="C17" s="22">
        <v>48373</v>
      </c>
      <c r="D17" s="22">
        <v>43255</v>
      </c>
      <c r="E17" s="22">
        <v>73448</v>
      </c>
      <c r="F17" s="22">
        <v>112689</v>
      </c>
      <c r="G17" s="22">
        <v>53244.44</v>
      </c>
      <c r="H17" s="21">
        <v>60250</v>
      </c>
      <c r="I17" s="21"/>
      <c r="J17" s="21">
        <v>92991.24</v>
      </c>
      <c r="K17" s="21">
        <v>0</v>
      </c>
      <c r="L17" s="22">
        <f t="shared" si="0"/>
        <v>92991.24</v>
      </c>
    </row>
    <row r="18" spans="1:12" x14ac:dyDescent="0.25">
      <c r="A18" t="s">
        <v>2335</v>
      </c>
      <c r="B18" s="7" t="s">
        <v>404</v>
      </c>
      <c r="C18" s="22">
        <v>2655</v>
      </c>
      <c r="D18" s="22">
        <v>2430</v>
      </c>
      <c r="E18" s="22">
        <v>4010</v>
      </c>
      <c r="F18" s="22">
        <v>5232</v>
      </c>
      <c r="G18" s="22">
        <v>3121.78</v>
      </c>
      <c r="H18" s="21">
        <v>3950</v>
      </c>
      <c r="I18" s="21"/>
      <c r="J18" s="21">
        <v>5760</v>
      </c>
      <c r="K18" s="21">
        <v>0</v>
      </c>
      <c r="L18" s="22">
        <f t="shared" si="0"/>
        <v>5760</v>
      </c>
    </row>
    <row r="19" spans="1:12" x14ac:dyDescent="0.25">
      <c r="A19" t="s">
        <v>2336</v>
      </c>
      <c r="B19" s="7" t="s">
        <v>406</v>
      </c>
      <c r="C19" s="22">
        <v>4167</v>
      </c>
      <c r="D19" s="22">
        <v>2902</v>
      </c>
      <c r="E19" s="22">
        <v>8288</v>
      </c>
      <c r="F19" s="22">
        <v>9117</v>
      </c>
      <c r="G19" s="22">
        <v>9597.32</v>
      </c>
      <c r="H19" s="21">
        <v>9597</v>
      </c>
      <c r="I19" s="21"/>
      <c r="J19" s="21">
        <f>G19*10%+G19</f>
        <v>10557.052</v>
      </c>
      <c r="K19" s="21">
        <v>0</v>
      </c>
      <c r="L19" s="22">
        <f t="shared" si="0"/>
        <v>10557.052</v>
      </c>
    </row>
    <row r="20" spans="1:12" x14ac:dyDescent="0.25">
      <c r="A20" t="s">
        <v>2337</v>
      </c>
      <c r="B20" s="7" t="s">
        <v>424</v>
      </c>
      <c r="C20" s="22">
        <v>1869</v>
      </c>
      <c r="D20" s="22">
        <v>1938</v>
      </c>
      <c r="E20" s="22">
        <v>2318</v>
      </c>
      <c r="F20" s="22">
        <v>2436</v>
      </c>
      <c r="G20" s="22">
        <v>2491.33</v>
      </c>
      <c r="H20" s="21">
        <v>2491</v>
      </c>
      <c r="I20" s="21"/>
      <c r="J20" s="21">
        <v>2145.33</v>
      </c>
      <c r="K20" s="21">
        <v>0</v>
      </c>
      <c r="L20" s="22">
        <f t="shared" si="0"/>
        <v>2145.33</v>
      </c>
    </row>
    <row r="21" spans="1:12" x14ac:dyDescent="0.25">
      <c r="A21" t="s">
        <v>2338</v>
      </c>
      <c r="B21" s="7" t="s">
        <v>426</v>
      </c>
      <c r="C21" s="22">
        <v>1620</v>
      </c>
      <c r="D21" s="22">
        <v>1620</v>
      </c>
      <c r="E21" s="22">
        <v>2025</v>
      </c>
      <c r="F21" s="22">
        <v>3239</v>
      </c>
      <c r="G21" s="22">
        <v>2491.3200000000002</v>
      </c>
      <c r="H21" s="21">
        <v>2491</v>
      </c>
      <c r="I21" s="21"/>
      <c r="J21" s="21">
        <v>3239.28</v>
      </c>
      <c r="K21" s="21">
        <v>0</v>
      </c>
      <c r="L21" s="22">
        <f t="shared" si="0"/>
        <v>3239.28</v>
      </c>
    </row>
    <row r="22" spans="1:12" x14ac:dyDescent="0.25">
      <c r="A22" t="s">
        <v>2339</v>
      </c>
      <c r="B22" s="7" t="s">
        <v>1204</v>
      </c>
      <c r="C22" s="22">
        <v>720</v>
      </c>
      <c r="D22" s="22">
        <v>720</v>
      </c>
      <c r="E22" s="22">
        <v>1260</v>
      </c>
      <c r="F22" s="22">
        <v>1440</v>
      </c>
      <c r="G22" s="22">
        <v>1079.7</v>
      </c>
      <c r="H22" s="21">
        <v>1080</v>
      </c>
      <c r="I22" s="21"/>
      <c r="J22" s="21">
        <v>1439.6</v>
      </c>
      <c r="K22" s="21">
        <v>0</v>
      </c>
      <c r="L22" s="22">
        <f t="shared" si="0"/>
        <v>1439.6</v>
      </c>
    </row>
    <row r="23" spans="1:12" x14ac:dyDescent="0.25">
      <c r="A23" t="s">
        <v>2340</v>
      </c>
      <c r="B23" s="7" t="s">
        <v>428</v>
      </c>
      <c r="C23" s="22">
        <v>1200</v>
      </c>
      <c r="D23" s="22">
        <v>1200</v>
      </c>
      <c r="E23" s="22">
        <v>1200</v>
      </c>
      <c r="F23" s="22">
        <v>1200</v>
      </c>
      <c r="G23" s="22">
        <v>1061.68</v>
      </c>
      <c r="H23" s="21">
        <v>1400</v>
      </c>
      <c r="I23" s="21"/>
      <c r="J23" s="21">
        <v>1200</v>
      </c>
      <c r="K23" s="21">
        <v>0</v>
      </c>
      <c r="L23" s="22">
        <f t="shared" si="0"/>
        <v>1200</v>
      </c>
    </row>
    <row r="24" spans="1:12" x14ac:dyDescent="0.25">
      <c r="A24" t="s">
        <v>2341</v>
      </c>
      <c r="B24" s="7" t="s">
        <v>430</v>
      </c>
      <c r="C24" s="22">
        <v>138</v>
      </c>
      <c r="D24" s="22">
        <v>138</v>
      </c>
      <c r="E24" s="22">
        <v>242</v>
      </c>
      <c r="F24" s="22">
        <v>277</v>
      </c>
      <c r="G24" s="22">
        <v>242.2</v>
      </c>
      <c r="H24" s="21">
        <v>242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2342</v>
      </c>
      <c r="B25" s="7" t="s">
        <v>432</v>
      </c>
      <c r="C25" s="22">
        <v>7084</v>
      </c>
      <c r="D25" s="22">
        <v>5718</v>
      </c>
      <c r="E25" s="22">
        <v>12169</v>
      </c>
      <c r="F25" s="22">
        <v>8000</v>
      </c>
      <c r="G25" s="22">
        <v>15553.36</v>
      </c>
      <c r="H25" s="21">
        <v>18750</v>
      </c>
      <c r="I25" s="21"/>
      <c r="J25" s="21">
        <v>8000</v>
      </c>
      <c r="K25" s="21">
        <v>0</v>
      </c>
      <c r="L25" s="22">
        <f t="shared" si="0"/>
        <v>8000</v>
      </c>
    </row>
    <row r="26" spans="1:12" x14ac:dyDescent="0.25">
      <c r="A26" t="s">
        <v>2343</v>
      </c>
      <c r="B26" s="7" t="s">
        <v>434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1">
        <v>0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2344</v>
      </c>
      <c r="B27" s="7" t="s">
        <v>436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2345</v>
      </c>
      <c r="B28" s="7" t="s">
        <v>607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2346</v>
      </c>
      <c r="B29" s="7" t="s">
        <v>2347</v>
      </c>
      <c r="C29" s="22">
        <v>0</v>
      </c>
      <c r="D29" s="22">
        <v>0</v>
      </c>
      <c r="E29" s="22">
        <v>60000</v>
      </c>
      <c r="F29" s="22">
        <v>65520</v>
      </c>
      <c r="G29" s="22">
        <v>58176.75</v>
      </c>
      <c r="H29" s="21">
        <v>65520</v>
      </c>
      <c r="I29" s="21"/>
      <c r="J29" s="21">
        <v>65520</v>
      </c>
      <c r="K29" s="21">
        <v>0</v>
      </c>
      <c r="L29" s="22">
        <f t="shared" si="0"/>
        <v>65520</v>
      </c>
    </row>
    <row r="30" spans="1:12" x14ac:dyDescent="0.25">
      <c r="A30" t="s">
        <v>2348</v>
      </c>
      <c r="B30" s="7" t="s">
        <v>2349</v>
      </c>
      <c r="C30" s="22">
        <v>49787</v>
      </c>
      <c r="D30" s="22">
        <v>71671</v>
      </c>
      <c r="E30" s="22">
        <v>52435</v>
      </c>
      <c r="F30" s="22">
        <v>54600</v>
      </c>
      <c r="G30" s="22">
        <v>50531.71</v>
      </c>
      <c r="H30" s="21">
        <v>56750</v>
      </c>
      <c r="I30" s="21"/>
      <c r="J30" s="21">
        <v>57328.959999999999</v>
      </c>
      <c r="K30" s="21">
        <v>0</v>
      </c>
      <c r="L30" s="22">
        <f t="shared" si="0"/>
        <v>57328.959999999999</v>
      </c>
    </row>
    <row r="31" spans="1:12" x14ac:dyDescent="0.25">
      <c r="A31" t="s">
        <v>2350</v>
      </c>
      <c r="B31" s="7" t="s">
        <v>2351</v>
      </c>
      <c r="C31" s="22">
        <v>122335</v>
      </c>
      <c r="D31" s="22">
        <v>100431</v>
      </c>
      <c r="E31" s="22">
        <v>176497</v>
      </c>
      <c r="F31" s="22">
        <v>276953</v>
      </c>
      <c r="G31" s="22">
        <v>179286.64</v>
      </c>
      <c r="H31" s="21">
        <v>213000</v>
      </c>
      <c r="I31" s="21"/>
      <c r="J31" s="21">
        <v>265304</v>
      </c>
      <c r="K31" s="21">
        <v>0</v>
      </c>
      <c r="L31" s="22">
        <f t="shared" si="0"/>
        <v>265304</v>
      </c>
    </row>
    <row r="32" spans="1:12" x14ac:dyDescent="0.25">
      <c r="A32" t="s">
        <v>2352</v>
      </c>
      <c r="B32" s="7" t="s">
        <v>1221</v>
      </c>
      <c r="C32" s="22">
        <v>750</v>
      </c>
      <c r="D32" s="22">
        <v>375</v>
      </c>
      <c r="E32" s="22">
        <v>900</v>
      </c>
      <c r="F32" s="22">
        <v>0</v>
      </c>
      <c r="G32" s="22">
        <v>1875</v>
      </c>
      <c r="H32" s="21">
        <v>2200</v>
      </c>
      <c r="I32" s="21"/>
      <c r="J32" s="21">
        <v>1950</v>
      </c>
      <c r="K32" s="21">
        <v>0</v>
      </c>
      <c r="L32" s="22">
        <f t="shared" si="0"/>
        <v>1950</v>
      </c>
    </row>
    <row r="33" spans="1:12" x14ac:dyDescent="0.25">
      <c r="C33" s="22"/>
      <c r="D33" s="22"/>
      <c r="E33" s="22"/>
      <c r="F33" s="22"/>
      <c r="G33" s="22"/>
      <c r="H33" s="21"/>
      <c r="I33" s="21"/>
      <c r="J33" s="21"/>
      <c r="K33" s="21"/>
      <c r="L33" s="22"/>
    </row>
    <row r="34" spans="1:12" x14ac:dyDescent="0.25">
      <c r="C34" s="22"/>
      <c r="D34" s="22"/>
      <c r="E34" s="22"/>
      <c r="F34" s="22"/>
      <c r="G34" s="22"/>
      <c r="H34" s="21"/>
      <c r="I34" s="21"/>
      <c r="J34" s="21"/>
      <c r="K34" s="21"/>
      <c r="L34" s="22"/>
    </row>
    <row r="35" spans="1:12" x14ac:dyDescent="0.25">
      <c r="A35" t="s">
        <v>109</v>
      </c>
      <c r="C35" s="22"/>
      <c r="D35" s="22"/>
      <c r="E35" s="22"/>
      <c r="F35" s="22"/>
      <c r="G35" s="22"/>
      <c r="H35" s="21"/>
      <c r="I35" s="21"/>
      <c r="J35" s="21"/>
      <c r="K35" s="21"/>
      <c r="L35" s="22"/>
    </row>
    <row r="36" spans="1:12" x14ac:dyDescent="0.25">
      <c r="B36" t="s">
        <v>441</v>
      </c>
      <c r="C36" s="20">
        <f t="shared" ref="C36:H36" si="1">SUM(C13:C32)</f>
        <v>280224</v>
      </c>
      <c r="D36" s="20">
        <f t="shared" si="1"/>
        <v>254274</v>
      </c>
      <c r="E36" s="20">
        <f t="shared" si="1"/>
        <v>446245</v>
      </c>
      <c r="F36" s="20">
        <f t="shared" si="1"/>
        <v>612265</v>
      </c>
      <c r="G36" s="20">
        <f t="shared" si="1"/>
        <v>426837.05000000005</v>
      </c>
      <c r="H36" s="20">
        <f t="shared" si="1"/>
        <v>493821</v>
      </c>
      <c r="I36" s="20"/>
      <c r="J36" s="20">
        <f>SUM(J13:J32)</f>
        <v>583891.01199999999</v>
      </c>
      <c r="K36" s="20">
        <f>SUM(K13:K32)</f>
        <v>0</v>
      </c>
      <c r="L36" s="20">
        <f>SUM(L13:L32)</f>
        <v>583891.01199999999</v>
      </c>
    </row>
    <row r="37" spans="1:12" x14ac:dyDescent="0.25">
      <c r="A37" t="s">
        <v>110</v>
      </c>
      <c r="C37" s="22"/>
      <c r="D37" s="22"/>
      <c r="E37" s="22"/>
      <c r="F37" s="22"/>
      <c r="G37" s="22"/>
      <c r="H37" s="21"/>
      <c r="I37" s="21"/>
      <c r="J37" s="21"/>
      <c r="K37" s="21"/>
      <c r="L37" s="22"/>
    </row>
    <row r="38" spans="1:12" x14ac:dyDescent="0.25">
      <c r="A38" t="s">
        <v>478</v>
      </c>
      <c r="C38" s="22"/>
      <c r="D38" s="22"/>
      <c r="E38" s="22"/>
      <c r="F38" s="22"/>
      <c r="G38" s="22"/>
      <c r="H38" s="21"/>
      <c r="I38" s="21"/>
      <c r="J38" s="21"/>
      <c r="K38" s="21"/>
      <c r="L38" s="22"/>
    </row>
    <row r="39" spans="1:12" x14ac:dyDescent="0.25">
      <c r="A39" t="s">
        <v>18</v>
      </c>
      <c r="B39" s="7" t="s">
        <v>21</v>
      </c>
      <c r="C39" s="22"/>
      <c r="D39" s="22"/>
      <c r="E39" s="22"/>
      <c r="F39" s="22"/>
      <c r="G39" s="22"/>
      <c r="H39" s="21"/>
      <c r="I39" s="21"/>
      <c r="J39" s="21"/>
      <c r="K39" s="21"/>
      <c r="L39" s="22"/>
    </row>
    <row r="40" spans="1:12" x14ac:dyDescent="0.25">
      <c r="A40" t="s">
        <v>2353</v>
      </c>
      <c r="B40" s="7" t="s">
        <v>445</v>
      </c>
      <c r="C40" s="22">
        <v>7906</v>
      </c>
      <c r="D40" s="22">
        <v>2268</v>
      </c>
      <c r="E40" s="22">
        <v>9795</v>
      </c>
      <c r="F40" s="22">
        <v>10775</v>
      </c>
      <c r="G40" s="22">
        <v>7396.49</v>
      </c>
      <c r="H40" s="21">
        <v>7396</v>
      </c>
      <c r="I40" s="21"/>
      <c r="J40" s="21">
        <f>G40*10%+G40</f>
        <v>8136.1390000000001</v>
      </c>
      <c r="K40" s="21">
        <v>0</v>
      </c>
      <c r="L40" s="22">
        <f>SUM(J40+K40)</f>
        <v>8136.1390000000001</v>
      </c>
    </row>
    <row r="41" spans="1:12" x14ac:dyDescent="0.25">
      <c r="A41" t="s">
        <v>2354</v>
      </c>
      <c r="B41" s="7" t="s">
        <v>447</v>
      </c>
      <c r="C41" s="22">
        <v>6080</v>
      </c>
      <c r="D41" s="22">
        <v>5047</v>
      </c>
      <c r="E41" s="22">
        <v>1975</v>
      </c>
      <c r="F41" s="22">
        <v>12000</v>
      </c>
      <c r="G41" s="22">
        <v>4855.5</v>
      </c>
      <c r="H41" s="21">
        <v>6000</v>
      </c>
      <c r="I41" s="21"/>
      <c r="J41" s="21">
        <v>12000</v>
      </c>
      <c r="K41" s="21">
        <v>0</v>
      </c>
      <c r="L41" s="22">
        <f t="shared" ref="L41:L57" si="2">SUM(J41+K41)</f>
        <v>12000</v>
      </c>
    </row>
    <row r="42" spans="1:12" x14ac:dyDescent="0.25">
      <c r="A42" t="s">
        <v>2355</v>
      </c>
      <c r="B42" s="7" t="s">
        <v>449</v>
      </c>
      <c r="C42" s="22">
        <v>1433</v>
      </c>
      <c r="D42" s="22">
        <v>0</v>
      </c>
      <c r="E42" s="22">
        <v>1594</v>
      </c>
      <c r="F42" s="22">
        <v>2000</v>
      </c>
      <c r="G42" s="22">
        <v>1602.51</v>
      </c>
      <c r="H42" s="21">
        <v>1800</v>
      </c>
      <c r="I42" s="21"/>
      <c r="J42" s="21">
        <v>2000</v>
      </c>
      <c r="K42" s="21">
        <v>0</v>
      </c>
      <c r="L42" s="22">
        <f t="shared" si="2"/>
        <v>2000</v>
      </c>
    </row>
    <row r="43" spans="1:12" x14ac:dyDescent="0.25">
      <c r="A43" t="s">
        <v>2356</v>
      </c>
      <c r="B43" s="7" t="s">
        <v>451</v>
      </c>
      <c r="C43" s="22">
        <v>5141</v>
      </c>
      <c r="D43" s="22">
        <v>2500</v>
      </c>
      <c r="E43" s="22">
        <v>4469</v>
      </c>
      <c r="F43" s="22">
        <v>6000</v>
      </c>
      <c r="G43" s="22">
        <v>6173.12</v>
      </c>
      <c r="H43" s="21">
        <v>6200</v>
      </c>
      <c r="I43" s="21"/>
      <c r="J43" s="21">
        <v>6000</v>
      </c>
      <c r="K43" s="21">
        <v>0</v>
      </c>
      <c r="L43" s="22">
        <f t="shared" si="2"/>
        <v>6000</v>
      </c>
    </row>
    <row r="44" spans="1:12" x14ac:dyDescent="0.25">
      <c r="A44" t="s">
        <v>2357</v>
      </c>
      <c r="B44" s="7" t="s">
        <v>1232</v>
      </c>
      <c r="C44" s="22">
        <v>0</v>
      </c>
      <c r="D44" s="22">
        <v>5501</v>
      </c>
      <c r="E44" s="22">
        <v>9262</v>
      </c>
      <c r="F44" s="22">
        <v>0</v>
      </c>
      <c r="G44" s="22">
        <v>6417.88</v>
      </c>
      <c r="H44" s="21">
        <v>6750</v>
      </c>
      <c r="I44" s="21"/>
      <c r="J44" s="21">
        <v>2000</v>
      </c>
      <c r="K44" s="21">
        <v>0</v>
      </c>
      <c r="L44" s="22">
        <f t="shared" si="2"/>
        <v>2000</v>
      </c>
    </row>
    <row r="45" spans="1:12" x14ac:dyDescent="0.25">
      <c r="A45" t="s">
        <v>2358</v>
      </c>
      <c r="B45" s="7" t="s">
        <v>471</v>
      </c>
      <c r="C45" s="22">
        <v>0</v>
      </c>
      <c r="D45" s="22">
        <v>144</v>
      </c>
      <c r="E45" s="22">
        <v>362</v>
      </c>
      <c r="F45" s="22">
        <v>0</v>
      </c>
      <c r="G45" s="22">
        <v>393.5</v>
      </c>
      <c r="H45" s="21">
        <v>480</v>
      </c>
      <c r="I45" s="21"/>
      <c r="J45" s="21">
        <v>500</v>
      </c>
      <c r="K45" s="21">
        <v>0</v>
      </c>
      <c r="L45" s="22">
        <f t="shared" si="2"/>
        <v>500</v>
      </c>
    </row>
    <row r="46" spans="1:12" x14ac:dyDescent="0.25">
      <c r="A46" t="s">
        <v>2359</v>
      </c>
      <c r="B46" s="7" t="s">
        <v>1047</v>
      </c>
      <c r="C46" s="22">
        <v>2275</v>
      </c>
      <c r="D46" s="22">
        <v>2274</v>
      </c>
      <c r="E46" s="22">
        <v>2173</v>
      </c>
      <c r="F46" s="22">
        <v>4500</v>
      </c>
      <c r="G46" s="22">
        <v>1706.81</v>
      </c>
      <c r="H46" s="21">
        <v>1900</v>
      </c>
      <c r="I46" s="21"/>
      <c r="J46" s="21">
        <v>3200</v>
      </c>
      <c r="K46" s="21">
        <v>0</v>
      </c>
      <c r="L46" s="22">
        <f t="shared" si="2"/>
        <v>3200</v>
      </c>
    </row>
    <row r="47" spans="1:12" x14ac:dyDescent="0.25">
      <c r="A47" t="s">
        <v>2360</v>
      </c>
      <c r="B47" s="7" t="s">
        <v>473</v>
      </c>
      <c r="C47" s="22">
        <v>38462</v>
      </c>
      <c r="D47" s="22">
        <v>57943</v>
      </c>
      <c r="E47" s="22">
        <v>63016</v>
      </c>
      <c r="F47" s="22">
        <v>70000</v>
      </c>
      <c r="G47" s="22">
        <v>58281.5</v>
      </c>
      <c r="H47" s="21">
        <v>60000</v>
      </c>
      <c r="I47" s="21"/>
      <c r="J47" s="21">
        <v>70000</v>
      </c>
      <c r="K47" s="21">
        <v>0</v>
      </c>
      <c r="L47" s="22">
        <f t="shared" si="2"/>
        <v>70000</v>
      </c>
    </row>
    <row r="48" spans="1:12" x14ac:dyDescent="0.25">
      <c r="A48" t="s">
        <v>2361</v>
      </c>
      <c r="B48" s="7" t="s">
        <v>1241</v>
      </c>
      <c r="C48" s="22">
        <v>26009</v>
      </c>
      <c r="D48" s="22">
        <v>0</v>
      </c>
      <c r="E48" s="22">
        <v>0</v>
      </c>
      <c r="F48" s="22">
        <v>0</v>
      </c>
      <c r="G48" s="22">
        <v>0</v>
      </c>
      <c r="H48" s="21">
        <v>0</v>
      </c>
      <c r="I48" s="21"/>
      <c r="J48" s="21">
        <v>0</v>
      </c>
      <c r="K48" s="21">
        <v>0</v>
      </c>
      <c r="L48" s="22">
        <f t="shared" si="2"/>
        <v>0</v>
      </c>
    </row>
    <row r="49" spans="1:12" x14ac:dyDescent="0.25">
      <c r="A49" t="s">
        <v>2362</v>
      </c>
      <c r="B49" s="7" t="s">
        <v>626</v>
      </c>
      <c r="C49" s="22">
        <v>28830</v>
      </c>
      <c r="D49" s="22">
        <v>28732</v>
      </c>
      <c r="E49" s="22">
        <v>67721</v>
      </c>
      <c r="F49" s="22">
        <v>50000</v>
      </c>
      <c r="G49" s="22">
        <v>36772.410000000003</v>
      </c>
      <c r="H49" s="21">
        <v>40000</v>
      </c>
      <c r="I49" s="21"/>
      <c r="J49" s="21">
        <v>50000</v>
      </c>
      <c r="K49" s="21">
        <v>0</v>
      </c>
      <c r="L49" s="22">
        <f t="shared" si="2"/>
        <v>50000</v>
      </c>
    </row>
    <row r="50" spans="1:12" x14ac:dyDescent="0.25">
      <c r="A50" t="s">
        <v>2363</v>
      </c>
      <c r="B50" s="7" t="s">
        <v>1246</v>
      </c>
      <c r="C50" s="22">
        <v>2948</v>
      </c>
      <c r="D50" s="22">
        <v>0</v>
      </c>
      <c r="E50" s="22">
        <v>1964</v>
      </c>
      <c r="F50" s="22">
        <v>1500</v>
      </c>
      <c r="G50" s="22">
        <v>9759.69</v>
      </c>
      <c r="H50" s="21">
        <v>9760</v>
      </c>
      <c r="I50" s="21"/>
      <c r="J50" s="21">
        <v>3000</v>
      </c>
      <c r="K50" s="21">
        <v>0</v>
      </c>
      <c r="L50" s="22">
        <f t="shared" si="2"/>
        <v>3000</v>
      </c>
    </row>
    <row r="51" spans="1:12" x14ac:dyDescent="0.25">
      <c r="A51" t="s">
        <v>2364</v>
      </c>
      <c r="B51" s="7" t="s">
        <v>475</v>
      </c>
      <c r="C51" s="22">
        <v>442</v>
      </c>
      <c r="D51" s="22">
        <v>209</v>
      </c>
      <c r="E51" s="22">
        <v>227</v>
      </c>
      <c r="F51" s="22">
        <v>500</v>
      </c>
      <c r="G51" s="22">
        <v>521.92999999999995</v>
      </c>
      <c r="H51" s="21">
        <v>522</v>
      </c>
      <c r="I51" s="21"/>
      <c r="J51" s="21">
        <v>0</v>
      </c>
      <c r="K51" s="21">
        <v>0</v>
      </c>
      <c r="L51" s="22">
        <f t="shared" si="2"/>
        <v>0</v>
      </c>
    </row>
    <row r="52" spans="1:12" x14ac:dyDescent="0.25">
      <c r="A52" t="s">
        <v>2365</v>
      </c>
      <c r="B52" s="7" t="s">
        <v>2366</v>
      </c>
      <c r="C52" s="22">
        <v>595611</v>
      </c>
      <c r="D52" s="22">
        <v>211981</v>
      </c>
      <c r="E52" s="22">
        <v>149204</v>
      </c>
      <c r="F52" s="22">
        <v>400000</v>
      </c>
      <c r="G52" s="22">
        <v>35017.94</v>
      </c>
      <c r="H52" s="21">
        <v>45000</v>
      </c>
      <c r="I52" s="21"/>
      <c r="J52" s="21">
        <v>150000</v>
      </c>
      <c r="K52" s="21">
        <v>0</v>
      </c>
      <c r="L52" s="22">
        <f t="shared" si="2"/>
        <v>150000</v>
      </c>
    </row>
    <row r="53" spans="1:12" x14ac:dyDescent="0.25">
      <c r="A53" t="s">
        <v>2367</v>
      </c>
      <c r="B53" s="7" t="s">
        <v>2368</v>
      </c>
      <c r="C53" s="22">
        <v>0</v>
      </c>
      <c r="D53" s="22">
        <v>0</v>
      </c>
      <c r="E53" s="22">
        <v>12705</v>
      </c>
      <c r="F53" s="22">
        <v>0</v>
      </c>
      <c r="G53" s="22">
        <v>2358.65</v>
      </c>
      <c r="H53" s="21">
        <v>2359</v>
      </c>
      <c r="I53" s="21"/>
      <c r="J53" s="21">
        <v>0</v>
      </c>
      <c r="K53" s="21">
        <v>0</v>
      </c>
      <c r="L53" s="22">
        <f t="shared" si="2"/>
        <v>0</v>
      </c>
    </row>
    <row r="54" spans="1:12" x14ac:dyDescent="0.25">
      <c r="A54" t="s">
        <v>2369</v>
      </c>
      <c r="B54" s="7" t="s">
        <v>2370</v>
      </c>
      <c r="C54" s="22">
        <v>2498</v>
      </c>
      <c r="D54" s="22">
        <v>44897</v>
      </c>
      <c r="E54" s="22">
        <v>0</v>
      </c>
      <c r="F54" s="22">
        <v>40000</v>
      </c>
      <c r="G54" s="22">
        <v>0</v>
      </c>
      <c r="H54" s="21">
        <v>0</v>
      </c>
      <c r="I54" s="24"/>
      <c r="J54" s="21">
        <v>130000</v>
      </c>
      <c r="K54" s="21">
        <v>0</v>
      </c>
      <c r="L54" s="22">
        <f t="shared" si="2"/>
        <v>130000</v>
      </c>
    </row>
    <row r="55" spans="1:12" x14ac:dyDescent="0.25">
      <c r="B55" s="7" t="s">
        <v>3751</v>
      </c>
      <c r="C55" s="22"/>
      <c r="D55" s="22"/>
      <c r="E55" s="22"/>
      <c r="F55" s="22"/>
      <c r="G55" s="22"/>
      <c r="H55" s="21"/>
      <c r="I55" s="24">
        <v>100000</v>
      </c>
      <c r="J55" s="21"/>
      <c r="K55" s="21"/>
      <c r="L55" s="22"/>
    </row>
    <row r="56" spans="1:12" x14ac:dyDescent="0.25">
      <c r="B56" s="7" t="s">
        <v>3752</v>
      </c>
      <c r="C56" s="22"/>
      <c r="D56" s="22"/>
      <c r="E56" s="22"/>
      <c r="F56" s="22"/>
      <c r="G56" s="22"/>
      <c r="H56" s="21"/>
      <c r="I56" s="24">
        <v>30000</v>
      </c>
      <c r="J56" s="21"/>
      <c r="K56" s="21"/>
      <c r="L56" s="22"/>
    </row>
    <row r="57" spans="1:12" x14ac:dyDescent="0.25">
      <c r="A57" t="s">
        <v>2371</v>
      </c>
      <c r="B57" s="7" t="s">
        <v>477</v>
      </c>
      <c r="C57" s="22">
        <v>0</v>
      </c>
      <c r="D57" s="22">
        <v>0</v>
      </c>
      <c r="E57" s="22">
        <v>0</v>
      </c>
      <c r="F57" s="22">
        <v>0</v>
      </c>
      <c r="G57" s="22">
        <v>58.99</v>
      </c>
      <c r="H57" s="21">
        <v>100</v>
      </c>
      <c r="I57" s="24"/>
      <c r="J57" s="21">
        <v>0</v>
      </c>
      <c r="K57" s="21">
        <v>0</v>
      </c>
      <c r="L57" s="22">
        <f t="shared" si="2"/>
        <v>0</v>
      </c>
    </row>
    <row r="58" spans="1:12" x14ac:dyDescent="0.25">
      <c r="C58" s="22"/>
      <c r="D58" s="22"/>
      <c r="E58" s="22"/>
      <c r="F58" s="22"/>
      <c r="G58" s="22"/>
      <c r="H58" s="21"/>
      <c r="I58" s="21"/>
      <c r="J58" s="21"/>
      <c r="K58" s="21"/>
      <c r="L58" s="22"/>
    </row>
    <row r="59" spans="1:12" x14ac:dyDescent="0.25">
      <c r="C59" s="22"/>
      <c r="D59" s="22"/>
      <c r="E59" s="22"/>
      <c r="F59" s="22"/>
      <c r="G59" s="22"/>
      <c r="H59" s="21"/>
      <c r="I59" s="21"/>
      <c r="J59" s="21"/>
      <c r="K59" s="21"/>
      <c r="L59" s="22"/>
    </row>
    <row r="60" spans="1:12" x14ac:dyDescent="0.25">
      <c r="A60" t="s">
        <v>109</v>
      </c>
      <c r="C60" s="22"/>
      <c r="D60" s="22"/>
      <c r="E60" s="22"/>
      <c r="F60" s="22"/>
      <c r="G60" s="22"/>
      <c r="H60" s="21"/>
      <c r="I60" s="21"/>
      <c r="J60" s="21"/>
      <c r="K60" s="21"/>
      <c r="L60" s="22"/>
    </row>
    <row r="61" spans="1:12" x14ac:dyDescent="0.25">
      <c r="B61" t="s">
        <v>478</v>
      </c>
      <c r="C61" s="20">
        <f t="shared" ref="C61:H61" si="3">SUM(C40:C57)</f>
        <v>717635</v>
      </c>
      <c r="D61" s="20">
        <f t="shared" si="3"/>
        <v>361496</v>
      </c>
      <c r="E61" s="20">
        <f t="shared" si="3"/>
        <v>324467</v>
      </c>
      <c r="F61" s="20">
        <f t="shared" si="3"/>
        <v>597275</v>
      </c>
      <c r="G61" s="20">
        <f t="shared" si="3"/>
        <v>171316.91999999998</v>
      </c>
      <c r="H61" s="20">
        <f t="shared" si="3"/>
        <v>188267</v>
      </c>
      <c r="I61" s="20"/>
      <c r="J61" s="20">
        <f>SUM(J40:J57)</f>
        <v>436836.13899999997</v>
      </c>
      <c r="K61" s="20">
        <f>SUM(K40:K57)</f>
        <v>0</v>
      </c>
      <c r="L61" s="20">
        <f>SUM(L40:L57)</f>
        <v>436836.13899999997</v>
      </c>
    </row>
    <row r="62" spans="1:12" x14ac:dyDescent="0.25">
      <c r="C62" s="22"/>
      <c r="D62" s="22"/>
      <c r="E62" s="22"/>
      <c r="F62" s="22"/>
      <c r="G62" s="22"/>
      <c r="H62" s="21"/>
      <c r="I62" s="21"/>
      <c r="J62" s="21"/>
      <c r="K62" s="21"/>
      <c r="L62" s="22"/>
    </row>
    <row r="63" spans="1:12" x14ac:dyDescent="0.25">
      <c r="A63" t="s">
        <v>489</v>
      </c>
      <c r="C63" s="22"/>
      <c r="D63" s="22"/>
      <c r="E63" s="22"/>
      <c r="F63" s="22"/>
      <c r="G63" s="22"/>
      <c r="H63" s="21"/>
      <c r="I63" s="21"/>
      <c r="J63" s="21"/>
      <c r="K63" s="21"/>
      <c r="L63" s="22"/>
    </row>
    <row r="64" spans="1:12" x14ac:dyDescent="0.25">
      <c r="A64" t="s">
        <v>18</v>
      </c>
      <c r="C64" s="22"/>
      <c r="D64" s="22"/>
      <c r="E64" s="22"/>
      <c r="F64" s="22"/>
      <c r="G64" s="22"/>
      <c r="H64" s="21"/>
      <c r="I64" s="21"/>
      <c r="J64" s="21"/>
      <c r="K64" s="21"/>
      <c r="L64" s="22"/>
    </row>
    <row r="65" spans="1:12" x14ac:dyDescent="0.25">
      <c r="A65" t="s">
        <v>2372</v>
      </c>
      <c r="B65" s="7" t="s">
        <v>489</v>
      </c>
      <c r="C65" s="22">
        <v>3908</v>
      </c>
      <c r="D65" s="22">
        <v>2255</v>
      </c>
      <c r="E65" s="22">
        <v>2837</v>
      </c>
      <c r="F65" s="22">
        <v>3000</v>
      </c>
      <c r="G65" s="22">
        <v>3265.05</v>
      </c>
      <c r="H65" s="21">
        <v>3500</v>
      </c>
      <c r="I65" s="21"/>
      <c r="J65" s="21">
        <v>3000</v>
      </c>
      <c r="K65" s="21">
        <v>0</v>
      </c>
      <c r="L65" s="22">
        <f>SUM(J65+K65)</f>
        <v>3000</v>
      </c>
    </row>
    <row r="66" spans="1:12" x14ac:dyDescent="0.25">
      <c r="A66" t="s">
        <v>2373</v>
      </c>
      <c r="B66" s="7" t="s">
        <v>1252</v>
      </c>
      <c r="C66" s="22">
        <v>2476</v>
      </c>
      <c r="D66" s="22">
        <v>3177</v>
      </c>
      <c r="E66" s="22">
        <v>3924</v>
      </c>
      <c r="F66" s="22">
        <v>4000</v>
      </c>
      <c r="G66" s="22">
        <v>7022.33</v>
      </c>
      <c r="H66" s="21">
        <v>8000</v>
      </c>
      <c r="I66" s="21"/>
      <c r="J66" s="21">
        <v>8000</v>
      </c>
      <c r="K66" s="21">
        <v>0</v>
      </c>
      <c r="L66" s="22">
        <f t="shared" ref="L66:L70" si="4">SUM(J66+K66)</f>
        <v>8000</v>
      </c>
    </row>
    <row r="67" spans="1:12" x14ac:dyDescent="0.25">
      <c r="A67" t="s">
        <v>2374</v>
      </c>
      <c r="B67" s="7" t="s">
        <v>496</v>
      </c>
      <c r="C67" s="22">
        <v>24989</v>
      </c>
      <c r="D67" s="22">
        <v>17716</v>
      </c>
      <c r="E67" s="22">
        <v>21682</v>
      </c>
      <c r="F67" s="22">
        <v>30000</v>
      </c>
      <c r="G67" s="22">
        <v>17991.39</v>
      </c>
      <c r="H67" s="21">
        <v>30000</v>
      </c>
      <c r="I67" s="21"/>
      <c r="J67" s="21">
        <v>30000</v>
      </c>
      <c r="K67" s="21">
        <v>0</v>
      </c>
      <c r="L67" s="22">
        <f t="shared" si="4"/>
        <v>30000</v>
      </c>
    </row>
    <row r="68" spans="1:12" x14ac:dyDescent="0.25">
      <c r="A68" t="s">
        <v>2375</v>
      </c>
      <c r="B68" s="7" t="s">
        <v>1259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1">
        <v>0</v>
      </c>
      <c r="I68" s="21"/>
      <c r="J68" s="21">
        <v>0</v>
      </c>
      <c r="K68" s="21">
        <v>0</v>
      </c>
      <c r="L68" s="22">
        <f t="shared" si="4"/>
        <v>0</v>
      </c>
    </row>
    <row r="69" spans="1:12" hidden="1" x14ac:dyDescent="0.25">
      <c r="A69" t="s">
        <v>2376</v>
      </c>
      <c r="B69" s="7" t="s">
        <v>498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1">
        <v>0</v>
      </c>
      <c r="I69" s="21"/>
      <c r="J69" s="21">
        <v>0</v>
      </c>
      <c r="K69" s="21">
        <v>0</v>
      </c>
      <c r="L69" s="22">
        <f t="shared" si="4"/>
        <v>0</v>
      </c>
    </row>
    <row r="70" spans="1:12" hidden="1" x14ac:dyDescent="0.25">
      <c r="A70" t="s">
        <v>2377</v>
      </c>
      <c r="B70" s="7" t="s">
        <v>500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1">
        <v>0</v>
      </c>
      <c r="I70" s="21"/>
      <c r="J70" s="21">
        <v>0</v>
      </c>
      <c r="K70" s="21">
        <v>0</v>
      </c>
      <c r="L70" s="22">
        <f t="shared" si="4"/>
        <v>0</v>
      </c>
    </row>
    <row r="71" spans="1:12" x14ac:dyDescent="0.25">
      <c r="C71" s="22"/>
      <c r="D71" s="22"/>
      <c r="E71" s="22"/>
      <c r="F71" s="22"/>
      <c r="G71" s="22"/>
      <c r="H71" s="21"/>
      <c r="I71" s="21"/>
      <c r="J71" s="21"/>
      <c r="K71" s="21"/>
      <c r="L71" s="22"/>
    </row>
    <row r="72" spans="1:12" x14ac:dyDescent="0.25">
      <c r="C72" s="22"/>
      <c r="D72" s="22"/>
      <c r="E72" s="22"/>
      <c r="F72" s="22"/>
      <c r="G72" s="22"/>
      <c r="H72" s="21"/>
      <c r="I72" s="21"/>
      <c r="J72" s="21"/>
      <c r="K72" s="21"/>
      <c r="L72" s="22"/>
    </row>
    <row r="73" spans="1:12" x14ac:dyDescent="0.25">
      <c r="A73" t="s">
        <v>109</v>
      </c>
      <c r="C73" s="22"/>
      <c r="D73" s="22"/>
      <c r="E73" s="22"/>
      <c r="F73" s="22"/>
      <c r="G73" s="22"/>
      <c r="H73" s="21"/>
      <c r="I73" s="21"/>
      <c r="J73" s="21"/>
      <c r="K73" s="21"/>
      <c r="L73" s="22"/>
    </row>
    <row r="74" spans="1:12" x14ac:dyDescent="0.25">
      <c r="B74" t="s">
        <v>489</v>
      </c>
      <c r="C74" s="20">
        <f t="shared" ref="C74:H74" si="5">SUM(C65:C70)</f>
        <v>31373</v>
      </c>
      <c r="D74" s="20">
        <f t="shared" si="5"/>
        <v>23148</v>
      </c>
      <c r="E74" s="20">
        <f t="shared" si="5"/>
        <v>28443</v>
      </c>
      <c r="F74" s="20">
        <f t="shared" si="5"/>
        <v>37000</v>
      </c>
      <c r="G74" s="20">
        <f t="shared" si="5"/>
        <v>28278.77</v>
      </c>
      <c r="H74" s="20">
        <f t="shared" si="5"/>
        <v>41500</v>
      </c>
      <c r="I74" s="20"/>
      <c r="J74" s="20">
        <f>SUM(J65:J70)</f>
        <v>41000</v>
      </c>
      <c r="K74" s="20">
        <f>SUM(K65:K70)</f>
        <v>0</v>
      </c>
      <c r="L74" s="20">
        <f>SUM(L65:L70)</f>
        <v>41000</v>
      </c>
    </row>
    <row r="75" spans="1:12" x14ac:dyDescent="0.25">
      <c r="C75" s="22"/>
      <c r="D75" s="22"/>
      <c r="E75" s="22"/>
      <c r="F75" s="22"/>
      <c r="G75" s="22"/>
      <c r="H75" s="21"/>
      <c r="I75" s="21"/>
      <c r="J75" s="21"/>
      <c r="K75" s="21"/>
      <c r="L75" s="22"/>
    </row>
    <row r="76" spans="1:12" x14ac:dyDescent="0.25">
      <c r="A76" t="s">
        <v>501</v>
      </c>
      <c r="C76" s="22"/>
      <c r="D76" s="22"/>
      <c r="E76" s="22"/>
      <c r="F76" s="22"/>
      <c r="G76" s="22"/>
      <c r="H76" s="21"/>
      <c r="I76" s="21"/>
      <c r="J76" s="21"/>
      <c r="K76" s="21"/>
      <c r="L76" s="22"/>
    </row>
    <row r="77" spans="1:12" x14ac:dyDescent="0.25">
      <c r="A77" t="s">
        <v>18</v>
      </c>
      <c r="C77" s="22"/>
      <c r="D77" s="22"/>
      <c r="E77" s="22"/>
      <c r="F77" s="22"/>
      <c r="G77" s="22"/>
      <c r="H77" s="21"/>
      <c r="I77" s="21"/>
      <c r="J77" s="21"/>
      <c r="K77" s="21"/>
      <c r="L77" s="22"/>
    </row>
    <row r="78" spans="1:12" x14ac:dyDescent="0.25">
      <c r="A78" t="s">
        <v>2378</v>
      </c>
      <c r="B78" s="7" t="s">
        <v>2379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1">
        <v>0</v>
      </c>
      <c r="I78" s="21"/>
      <c r="J78" s="21">
        <v>0</v>
      </c>
      <c r="K78" s="21">
        <v>0</v>
      </c>
      <c r="L78" s="22">
        <f>SUM(J78+K78)</f>
        <v>0</v>
      </c>
    </row>
    <row r="79" spans="1:12" x14ac:dyDescent="0.25">
      <c r="A79" t="s">
        <v>2380</v>
      </c>
      <c r="B79" s="7" t="s">
        <v>509</v>
      </c>
      <c r="C79" s="22">
        <v>10783</v>
      </c>
      <c r="D79" s="22">
        <v>7008</v>
      </c>
      <c r="E79" s="22">
        <v>3062</v>
      </c>
      <c r="F79" s="22">
        <v>7000</v>
      </c>
      <c r="G79" s="22">
        <v>15250.58</v>
      </c>
      <c r="H79" s="21">
        <v>15251</v>
      </c>
      <c r="I79" s="21"/>
      <c r="J79" s="21">
        <v>15000</v>
      </c>
      <c r="K79" s="21">
        <v>0</v>
      </c>
      <c r="L79" s="22">
        <f t="shared" ref="L79:L83" si="6">SUM(J79+K79)</f>
        <v>15000</v>
      </c>
    </row>
    <row r="80" spans="1:12" x14ac:dyDescent="0.25">
      <c r="A80" t="s">
        <v>2381</v>
      </c>
      <c r="B80" s="7" t="s">
        <v>519</v>
      </c>
      <c r="C80" s="22">
        <v>0</v>
      </c>
      <c r="D80" s="22">
        <v>8</v>
      </c>
      <c r="E80" s="22">
        <v>0</v>
      </c>
      <c r="F80" s="22">
        <v>100</v>
      </c>
      <c r="G80" s="22">
        <v>260.12</v>
      </c>
      <c r="H80" s="21">
        <v>260</v>
      </c>
      <c r="I80" s="21"/>
      <c r="J80" s="21">
        <v>0</v>
      </c>
      <c r="K80" s="21">
        <v>0</v>
      </c>
      <c r="L80" s="22">
        <f t="shared" si="6"/>
        <v>0</v>
      </c>
    </row>
    <row r="81" spans="1:12" x14ac:dyDescent="0.25">
      <c r="A81" t="s">
        <v>2382</v>
      </c>
      <c r="B81" s="7" t="s">
        <v>521</v>
      </c>
      <c r="C81" s="22">
        <v>0</v>
      </c>
      <c r="D81" s="22">
        <v>0</v>
      </c>
      <c r="E81" s="22">
        <v>1205</v>
      </c>
      <c r="F81" s="22">
        <v>1600</v>
      </c>
      <c r="G81" s="22">
        <v>3523.78</v>
      </c>
      <c r="H81" s="21">
        <v>4000</v>
      </c>
      <c r="I81" s="21"/>
      <c r="J81" s="21">
        <v>0</v>
      </c>
      <c r="K81" s="21">
        <v>0</v>
      </c>
      <c r="L81" s="22">
        <f t="shared" si="6"/>
        <v>0</v>
      </c>
    </row>
    <row r="82" spans="1:12" x14ac:dyDescent="0.25">
      <c r="A82" t="s">
        <v>2383</v>
      </c>
      <c r="B82" s="7" t="s">
        <v>2384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1">
        <v>0</v>
      </c>
      <c r="I82" s="21"/>
      <c r="J82" s="21">
        <v>0</v>
      </c>
      <c r="K82" s="21">
        <v>0</v>
      </c>
      <c r="L82" s="22">
        <f t="shared" si="6"/>
        <v>0</v>
      </c>
    </row>
    <row r="83" spans="1:12" x14ac:dyDescent="0.25">
      <c r="A83" t="s">
        <v>2385</v>
      </c>
      <c r="B83" s="7" t="s">
        <v>2386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1">
        <v>0</v>
      </c>
      <c r="I83" s="21"/>
      <c r="J83" s="21">
        <v>0</v>
      </c>
      <c r="K83" s="21">
        <v>0</v>
      </c>
      <c r="L83" s="22">
        <f t="shared" si="6"/>
        <v>0</v>
      </c>
    </row>
    <row r="84" spans="1:12" x14ac:dyDescent="0.25">
      <c r="C84" s="22"/>
      <c r="D84" s="22"/>
      <c r="E84" s="22"/>
      <c r="F84" s="22"/>
      <c r="G84" s="22"/>
      <c r="H84" s="21"/>
      <c r="I84" s="21"/>
      <c r="J84" s="21"/>
      <c r="K84" s="21"/>
      <c r="L84" s="22"/>
    </row>
    <row r="85" spans="1:12" x14ac:dyDescent="0.25">
      <c r="C85" s="22"/>
      <c r="D85" s="22"/>
      <c r="E85" s="22"/>
      <c r="F85" s="22"/>
      <c r="G85" s="22"/>
      <c r="H85" s="21"/>
      <c r="I85" s="21"/>
      <c r="J85" s="21"/>
      <c r="K85" s="21"/>
      <c r="L85" s="22"/>
    </row>
    <row r="86" spans="1:12" x14ac:dyDescent="0.25">
      <c r="A86" t="s">
        <v>109</v>
      </c>
      <c r="C86" s="22"/>
      <c r="D86" s="22"/>
      <c r="E86" s="22"/>
      <c r="F86" s="22"/>
      <c r="G86" s="22"/>
      <c r="H86" s="21"/>
      <c r="I86" s="21"/>
      <c r="J86" s="21"/>
      <c r="K86" s="21"/>
      <c r="L86" s="22"/>
    </row>
    <row r="87" spans="1:12" x14ac:dyDescent="0.25">
      <c r="B87" t="s">
        <v>501</v>
      </c>
      <c r="C87" s="20">
        <f t="shared" ref="C87:H87" si="7">SUM(C78:C83)</f>
        <v>10783</v>
      </c>
      <c r="D87" s="20">
        <f t="shared" si="7"/>
        <v>7016</v>
      </c>
      <c r="E87" s="20">
        <f t="shared" si="7"/>
        <v>4267</v>
      </c>
      <c r="F87" s="20">
        <f t="shared" si="7"/>
        <v>8700</v>
      </c>
      <c r="G87" s="20">
        <f t="shared" si="7"/>
        <v>19034.48</v>
      </c>
      <c r="H87" s="20">
        <f t="shared" si="7"/>
        <v>19511</v>
      </c>
      <c r="I87" s="20"/>
      <c r="J87" s="20">
        <f>SUM(J78:J83)</f>
        <v>15000</v>
      </c>
      <c r="K87" s="20">
        <f>SUM(K78:K83)</f>
        <v>0</v>
      </c>
      <c r="L87" s="20">
        <f>SUM(L78:L83)</f>
        <v>15000</v>
      </c>
    </row>
    <row r="88" spans="1:12" x14ac:dyDescent="0.25">
      <c r="C88" s="22"/>
      <c r="D88" s="22"/>
      <c r="E88" s="22"/>
      <c r="F88" s="22"/>
      <c r="G88" s="22"/>
      <c r="H88" s="21"/>
      <c r="I88" s="21"/>
      <c r="J88" s="21"/>
      <c r="K88" s="21"/>
      <c r="L88" s="22"/>
    </row>
    <row r="89" spans="1:12" x14ac:dyDescent="0.25">
      <c r="A89" t="s">
        <v>530</v>
      </c>
      <c r="C89" s="22"/>
      <c r="D89" s="22"/>
      <c r="E89" s="22"/>
      <c r="F89" s="22"/>
      <c r="G89" s="22"/>
      <c r="H89" s="21"/>
      <c r="I89" s="21"/>
      <c r="J89" s="21"/>
      <c r="K89" s="21"/>
      <c r="L89" s="22"/>
    </row>
    <row r="90" spans="1:12" x14ac:dyDescent="0.25">
      <c r="A90" t="s">
        <v>18</v>
      </c>
      <c r="B90" s="7" t="s">
        <v>526</v>
      </c>
      <c r="C90" s="22"/>
      <c r="D90" s="22"/>
      <c r="E90" s="22"/>
      <c r="F90" s="22"/>
      <c r="G90" s="22"/>
      <c r="H90" s="21"/>
      <c r="I90" s="21"/>
      <c r="J90" s="21"/>
      <c r="K90" s="21"/>
      <c r="L90" s="22"/>
    </row>
    <row r="91" spans="1:12" x14ac:dyDescent="0.25">
      <c r="A91" t="s">
        <v>2387</v>
      </c>
      <c r="B91" s="7" t="s">
        <v>1282</v>
      </c>
      <c r="C91" s="22">
        <v>1</v>
      </c>
      <c r="D91" s="22">
        <v>0</v>
      </c>
      <c r="E91" s="22">
        <v>14176</v>
      </c>
      <c r="F91" s="22">
        <v>120676</v>
      </c>
      <c r="G91" s="22">
        <v>86485.4</v>
      </c>
      <c r="H91" s="21">
        <v>86485</v>
      </c>
      <c r="I91" s="21"/>
      <c r="J91" s="21">
        <v>0</v>
      </c>
      <c r="K91" s="21">
        <v>22100</v>
      </c>
      <c r="L91" s="22">
        <f>SUM(J91+K91)</f>
        <v>22100</v>
      </c>
    </row>
    <row r="92" spans="1:12" x14ac:dyDescent="0.25">
      <c r="B92" s="7" t="s">
        <v>3753</v>
      </c>
      <c r="C92" s="22"/>
      <c r="D92" s="22"/>
      <c r="E92" s="22"/>
      <c r="F92" s="22"/>
      <c r="G92" s="22"/>
      <c r="H92" s="21"/>
      <c r="I92" s="21">
        <v>3900</v>
      </c>
      <c r="J92" s="21"/>
      <c r="K92" s="21"/>
      <c r="L92" s="22"/>
    </row>
    <row r="93" spans="1:12" x14ac:dyDescent="0.25">
      <c r="B93" s="7" t="s">
        <v>3754</v>
      </c>
      <c r="C93" s="22"/>
      <c r="D93" s="22"/>
      <c r="E93" s="22"/>
      <c r="F93" s="22"/>
      <c r="G93" s="22"/>
      <c r="H93" s="21"/>
      <c r="I93" s="21">
        <v>9000</v>
      </c>
      <c r="J93" s="21"/>
      <c r="K93" s="21"/>
      <c r="L93" s="22"/>
    </row>
    <row r="94" spans="1:12" x14ac:dyDescent="0.25">
      <c r="B94" s="7" t="s">
        <v>3755</v>
      </c>
      <c r="C94" s="22"/>
      <c r="D94" s="22"/>
      <c r="E94" s="22"/>
      <c r="F94" s="22"/>
      <c r="G94" s="22"/>
      <c r="H94" s="21"/>
      <c r="I94" s="21">
        <v>9200</v>
      </c>
      <c r="J94" s="21"/>
      <c r="K94" s="21"/>
      <c r="L94" s="22"/>
    </row>
    <row r="95" spans="1:12" x14ac:dyDescent="0.25">
      <c r="A95" t="s">
        <v>3756</v>
      </c>
      <c r="B95" s="7" t="s">
        <v>3757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1">
        <v>0</v>
      </c>
      <c r="I95" s="21"/>
      <c r="J95" s="21">
        <v>0</v>
      </c>
      <c r="K95" s="21">
        <v>40000</v>
      </c>
      <c r="L95" s="22">
        <f>SUM(J95+K95)</f>
        <v>40000</v>
      </c>
    </row>
    <row r="96" spans="1:12" x14ac:dyDescent="0.25">
      <c r="B96" s="7" t="s">
        <v>3746</v>
      </c>
      <c r="C96" s="22"/>
      <c r="D96" s="22"/>
      <c r="E96" s="22"/>
      <c r="F96" s="22"/>
      <c r="G96" s="22"/>
      <c r="H96" s="21"/>
      <c r="I96" s="21"/>
      <c r="J96" s="21"/>
      <c r="K96" s="21"/>
      <c r="L96" s="22"/>
    </row>
    <row r="97" spans="1:12" x14ac:dyDescent="0.25">
      <c r="A97" t="s">
        <v>2388</v>
      </c>
      <c r="B97" s="7" t="s">
        <v>660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1">
        <v>0</v>
      </c>
      <c r="I97" s="21"/>
      <c r="J97" s="21">
        <v>0</v>
      </c>
      <c r="K97" s="21">
        <v>557500</v>
      </c>
      <c r="L97" s="22">
        <f>SUM(J97+K97)</f>
        <v>557500</v>
      </c>
    </row>
    <row r="98" spans="1:12" x14ac:dyDescent="0.25">
      <c r="B98" s="7" t="s">
        <v>3758</v>
      </c>
      <c r="C98" s="22"/>
      <c r="D98" s="22"/>
      <c r="E98" s="22"/>
      <c r="F98" s="22"/>
      <c r="G98" s="22"/>
      <c r="H98" s="21"/>
      <c r="I98" s="21"/>
      <c r="J98" s="21"/>
      <c r="K98" s="21"/>
      <c r="L98" s="22"/>
    </row>
    <row r="99" spans="1:12" x14ac:dyDescent="0.25">
      <c r="C99" s="22"/>
      <c r="D99" s="22"/>
      <c r="E99" s="22"/>
      <c r="F99" s="22"/>
      <c r="G99" s="22"/>
      <c r="H99" s="21"/>
      <c r="I99" s="21"/>
      <c r="J99" s="21"/>
      <c r="K99" s="21"/>
      <c r="L99" s="22"/>
    </row>
    <row r="100" spans="1:12" x14ac:dyDescent="0.25">
      <c r="A100" t="s">
        <v>109</v>
      </c>
      <c r="C100" s="22"/>
      <c r="D100" s="22"/>
      <c r="E100" s="22"/>
      <c r="F100" s="22"/>
      <c r="G100" s="22"/>
      <c r="H100" s="21"/>
      <c r="I100" s="21"/>
      <c r="J100" s="21"/>
      <c r="K100" s="21"/>
      <c r="L100" s="22"/>
    </row>
    <row r="101" spans="1:12" x14ac:dyDescent="0.25">
      <c r="B101" t="s">
        <v>530</v>
      </c>
      <c r="C101" s="20">
        <f t="shared" ref="C101:H101" si="8">SUM(C91:C97)</f>
        <v>1</v>
      </c>
      <c r="D101" s="20">
        <f t="shared" si="8"/>
        <v>0</v>
      </c>
      <c r="E101" s="20">
        <f t="shared" si="8"/>
        <v>14176</v>
      </c>
      <c r="F101" s="20">
        <f t="shared" si="8"/>
        <v>120676</v>
      </c>
      <c r="G101" s="20">
        <f t="shared" si="8"/>
        <v>86485.4</v>
      </c>
      <c r="H101" s="20">
        <f t="shared" si="8"/>
        <v>86485</v>
      </c>
      <c r="I101" s="20"/>
      <c r="J101" s="20">
        <f>SUM(J91:J97)</f>
        <v>0</v>
      </c>
      <c r="K101" s="20">
        <f>SUM(K91:K97)</f>
        <v>619600</v>
      </c>
      <c r="L101" s="20">
        <f>SUM(L91:L97)</f>
        <v>619600</v>
      </c>
    </row>
    <row r="102" spans="1:12" x14ac:dyDescent="0.25">
      <c r="C102" s="22"/>
      <c r="D102" s="22"/>
      <c r="E102" s="22"/>
      <c r="F102" s="22"/>
      <c r="G102" s="22"/>
      <c r="H102" s="21"/>
      <c r="I102" s="21"/>
      <c r="J102" s="21"/>
      <c r="K102" s="21"/>
      <c r="L102" s="22"/>
    </row>
    <row r="103" spans="1:12" x14ac:dyDescent="0.25">
      <c r="C103" s="22"/>
      <c r="D103" s="22"/>
      <c r="E103" s="22"/>
      <c r="F103" s="22"/>
      <c r="G103" s="22"/>
      <c r="H103" s="21"/>
      <c r="I103" s="21"/>
      <c r="J103" s="21"/>
      <c r="K103" s="21"/>
      <c r="L103" s="22"/>
    </row>
    <row r="104" spans="1:12" x14ac:dyDescent="0.25">
      <c r="A104" t="s">
        <v>109</v>
      </c>
      <c r="C104" s="22"/>
      <c r="D104" s="22"/>
      <c r="E104" s="22"/>
      <c r="F104" s="22"/>
      <c r="G104" s="22"/>
      <c r="H104" s="21"/>
      <c r="I104" s="21"/>
      <c r="J104" s="21"/>
      <c r="K104" s="21"/>
      <c r="L104" s="22"/>
    </row>
    <row r="105" spans="1:12" x14ac:dyDescent="0.25">
      <c r="A105">
        <v>70</v>
      </c>
      <c r="B105" t="s">
        <v>3759</v>
      </c>
      <c r="C105" s="20">
        <f t="shared" ref="C105:H105" si="9">C36+C61+C74+C87+C101</f>
        <v>1040016</v>
      </c>
      <c r="D105" s="20">
        <f t="shared" si="9"/>
        <v>645934</v>
      </c>
      <c r="E105" s="20">
        <f t="shared" si="9"/>
        <v>817598</v>
      </c>
      <c r="F105" s="20">
        <f t="shared" si="9"/>
        <v>1375916</v>
      </c>
      <c r="G105" s="20">
        <f t="shared" si="9"/>
        <v>731952.62</v>
      </c>
      <c r="H105" s="20">
        <f t="shared" si="9"/>
        <v>829584</v>
      </c>
      <c r="I105" s="20"/>
      <c r="J105" s="20">
        <f>J36+J61+J74+J87+J101</f>
        <v>1076727.1510000001</v>
      </c>
      <c r="K105" s="20">
        <f>K36+K61+K74+K87+K101</f>
        <v>619600</v>
      </c>
      <c r="L105" s="20">
        <f>L36+L61+L74+L87+L101</f>
        <v>1696327.1510000001</v>
      </c>
    </row>
    <row r="106" spans="1:12" x14ac:dyDescent="0.25">
      <c r="C106" s="22"/>
      <c r="D106" s="22"/>
      <c r="E106" s="22"/>
      <c r="F106" s="22"/>
      <c r="G106" s="22"/>
      <c r="H106" s="21"/>
      <c r="I106" s="21"/>
      <c r="J106" s="21"/>
      <c r="K106" s="21"/>
      <c r="L106" s="22"/>
    </row>
  </sheetData>
  <sheetProtection algorithmName="SHA-512" hashValue="csXraoEWxXz6jSaUVjDlnBd8fsZxbmYIZsBdDaAsIgWfERc0Ue0bllA4aHACUBItM2ZZZADu7U37kr/nG4IA2A==" saltValue="pDJrUA6YTS5lT3c59pvF3A==" spinCount="100000" sheet="1" objects="1" scenarios="1" insertRows="0"/>
  <pageMargins left="0.25" right="0.25" top="0.75" bottom="0.75" header="0.3" footer="0.3"/>
  <pageSetup scale="74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AC048-5A99-4277-BD6D-8CBBCBA1B61E}">
  <sheetPr>
    <pageSetUpPr fitToPage="1"/>
  </sheetPr>
  <dimension ref="A1:L98"/>
  <sheetViews>
    <sheetView zoomScaleNormal="100" workbookViewId="0">
      <selection activeCell="J89" sqref="J89"/>
    </sheetView>
  </sheetViews>
  <sheetFormatPr defaultRowHeight="15" x14ac:dyDescent="0.25"/>
  <cols>
    <col min="2" max="2" width="32.5703125" style="7" bestFit="1" customWidth="1"/>
    <col min="3" max="3" width="13.140625" style="12" bestFit="1" customWidth="1"/>
    <col min="4" max="4" width="14.85546875" style="12" bestFit="1" customWidth="1"/>
    <col min="5" max="5" width="13.85546875" style="12" bestFit="1" customWidth="1"/>
    <col min="6" max="6" width="14" style="12" bestFit="1" customWidth="1"/>
    <col min="7" max="7" width="12.7109375" style="12" bestFit="1" customWidth="1"/>
    <col min="8" max="8" width="13.140625" style="11" bestFit="1" customWidth="1"/>
    <col min="9" max="9" width="10.7109375" style="11" customWidth="1"/>
    <col min="10" max="10" width="13.140625" style="11" bestFit="1" customWidth="1"/>
    <col min="11" max="11" width="14.5703125" style="11" bestFit="1" customWidth="1"/>
    <col min="12" max="12" width="14" style="12" bestFit="1" customWidth="1"/>
  </cols>
  <sheetData>
    <row r="1" spans="1:12" x14ac:dyDescent="0.25">
      <c r="A1" t="s">
        <v>3726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3760</v>
      </c>
    </row>
    <row r="11" spans="1:12" x14ac:dyDescent="0.25">
      <c r="A11" t="s">
        <v>441</v>
      </c>
      <c r="C11" s="22"/>
      <c r="D11" s="22"/>
      <c r="E11" s="22"/>
      <c r="F11" s="22"/>
      <c r="G11" s="22"/>
      <c r="H11" s="21"/>
      <c r="I11" s="21"/>
      <c r="J11" s="21"/>
      <c r="K11" s="21"/>
      <c r="L11" s="22"/>
    </row>
    <row r="12" spans="1:12" x14ac:dyDescent="0.25">
      <c r="A12" t="s">
        <v>18</v>
      </c>
      <c r="B12" s="7" t="s">
        <v>228</v>
      </c>
      <c r="C12" s="22"/>
      <c r="D12" s="22"/>
      <c r="E12" s="22"/>
      <c r="F12" s="22"/>
      <c r="G12" s="22"/>
      <c r="H12" s="21"/>
      <c r="I12" s="21"/>
      <c r="J12" s="21"/>
      <c r="K12" s="21"/>
      <c r="L12" s="22"/>
    </row>
    <row r="13" spans="1:12" x14ac:dyDescent="0.25">
      <c r="A13" t="s">
        <v>2391</v>
      </c>
      <c r="B13" s="7" t="s">
        <v>569</v>
      </c>
      <c r="C13" s="22">
        <v>4240</v>
      </c>
      <c r="D13" s="22">
        <v>-286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2392</v>
      </c>
      <c r="B14" s="7" t="s">
        <v>396</v>
      </c>
      <c r="C14" s="22">
        <v>18</v>
      </c>
      <c r="D14" s="22">
        <v>18</v>
      </c>
      <c r="E14" s="22">
        <v>331</v>
      </c>
      <c r="F14" s="22">
        <v>756</v>
      </c>
      <c r="G14" s="22">
        <v>248.55</v>
      </c>
      <c r="H14" s="21">
        <v>249</v>
      </c>
      <c r="I14" s="21"/>
      <c r="J14" s="21">
        <v>189</v>
      </c>
      <c r="K14" s="21">
        <v>0</v>
      </c>
      <c r="L14" s="22">
        <f t="shared" ref="L14:L31" si="0">SUM(J14+K14)</f>
        <v>189</v>
      </c>
    </row>
    <row r="15" spans="1:12" x14ac:dyDescent="0.25">
      <c r="A15" t="s">
        <v>2393</v>
      </c>
      <c r="B15" s="7" t="s">
        <v>398</v>
      </c>
      <c r="C15" s="22">
        <v>9955</v>
      </c>
      <c r="D15" s="22">
        <v>12725</v>
      </c>
      <c r="E15" s="22">
        <v>10454</v>
      </c>
      <c r="F15" s="22">
        <v>15012</v>
      </c>
      <c r="G15" s="22">
        <v>9671.7000000000007</v>
      </c>
      <c r="H15" s="21">
        <v>12000</v>
      </c>
      <c r="I15" s="21"/>
      <c r="J15" s="21">
        <v>14618.75</v>
      </c>
      <c r="K15" s="21">
        <v>0</v>
      </c>
      <c r="L15" s="22">
        <f t="shared" si="0"/>
        <v>14618.75</v>
      </c>
    </row>
    <row r="16" spans="1:12" x14ac:dyDescent="0.25">
      <c r="A16" t="s">
        <v>2394</v>
      </c>
      <c r="B16" s="7" t="s">
        <v>400</v>
      </c>
      <c r="C16" s="22">
        <v>11102</v>
      </c>
      <c r="D16" s="22">
        <v>14423</v>
      </c>
      <c r="E16" s="22">
        <v>12750</v>
      </c>
      <c r="F16" s="22">
        <v>18623</v>
      </c>
      <c r="G16" s="22">
        <v>9455.1</v>
      </c>
      <c r="H16" s="21">
        <v>12250</v>
      </c>
      <c r="I16" s="21"/>
      <c r="J16" s="21">
        <f>4345.9+13004.38</f>
        <v>17350.28</v>
      </c>
      <c r="K16" s="21">
        <v>0</v>
      </c>
      <c r="L16" s="22">
        <f t="shared" si="0"/>
        <v>17350.28</v>
      </c>
    </row>
    <row r="17" spans="1:12" x14ac:dyDescent="0.25">
      <c r="A17" t="s">
        <v>2395</v>
      </c>
      <c r="B17" s="7" t="s">
        <v>574</v>
      </c>
      <c r="C17" s="22">
        <v>28560</v>
      </c>
      <c r="D17" s="22">
        <v>32485</v>
      </c>
      <c r="E17" s="22">
        <v>35756</v>
      </c>
      <c r="F17" s="22">
        <v>50011</v>
      </c>
      <c r="G17" s="22">
        <v>25371.27</v>
      </c>
      <c r="H17" s="21">
        <v>30000</v>
      </c>
      <c r="I17" s="21"/>
      <c r="J17" s="21">
        <v>35511.839999999997</v>
      </c>
      <c r="K17" s="21">
        <v>0</v>
      </c>
      <c r="L17" s="22">
        <f t="shared" si="0"/>
        <v>35511.839999999997</v>
      </c>
    </row>
    <row r="18" spans="1:12" x14ac:dyDescent="0.25">
      <c r="A18" t="s">
        <v>2396</v>
      </c>
      <c r="B18" s="7" t="s">
        <v>404</v>
      </c>
      <c r="C18" s="22">
        <v>1328</v>
      </c>
      <c r="D18" s="22">
        <v>1547</v>
      </c>
      <c r="E18" s="22">
        <v>1540</v>
      </c>
      <c r="F18" s="22">
        <v>1962</v>
      </c>
      <c r="G18" s="22">
        <v>1096.8599999999999</v>
      </c>
      <c r="H18" s="21">
        <v>1900</v>
      </c>
      <c r="I18" s="21"/>
      <c r="J18" s="21">
        <v>2160</v>
      </c>
      <c r="K18" s="21">
        <v>0</v>
      </c>
      <c r="L18" s="22">
        <f t="shared" si="0"/>
        <v>2160</v>
      </c>
    </row>
    <row r="19" spans="1:12" x14ac:dyDescent="0.25">
      <c r="A19" t="s">
        <v>2397</v>
      </c>
      <c r="B19" s="7" t="s">
        <v>406</v>
      </c>
      <c r="C19" s="22">
        <v>3003</v>
      </c>
      <c r="D19" s="22">
        <v>2852</v>
      </c>
      <c r="E19" s="22">
        <v>2849</v>
      </c>
      <c r="F19" s="22">
        <v>3134</v>
      </c>
      <c r="G19" s="22">
        <v>5069.38</v>
      </c>
      <c r="H19" s="21">
        <v>5069</v>
      </c>
      <c r="I19" s="21"/>
      <c r="J19" s="21">
        <f>G19*10%+G19</f>
        <v>5576.3180000000002</v>
      </c>
      <c r="K19" s="21">
        <v>0</v>
      </c>
      <c r="L19" s="22">
        <f t="shared" si="0"/>
        <v>5576.3180000000002</v>
      </c>
    </row>
    <row r="20" spans="1:12" x14ac:dyDescent="0.25">
      <c r="A20" t="s">
        <v>2398</v>
      </c>
      <c r="B20" s="7" t="s">
        <v>424</v>
      </c>
      <c r="C20" s="22">
        <v>519</v>
      </c>
      <c r="D20" s="22">
        <v>588</v>
      </c>
      <c r="E20" s="22">
        <v>727</v>
      </c>
      <c r="F20" s="22">
        <v>559</v>
      </c>
      <c r="G20" s="22">
        <v>484.43</v>
      </c>
      <c r="H20" s="21">
        <v>484</v>
      </c>
      <c r="I20" s="21"/>
      <c r="J20" s="21">
        <v>449.83</v>
      </c>
      <c r="K20" s="21">
        <v>0</v>
      </c>
      <c r="L20" s="22">
        <f t="shared" si="0"/>
        <v>449.83</v>
      </c>
    </row>
    <row r="21" spans="1:12" x14ac:dyDescent="0.25">
      <c r="A21" t="s">
        <v>2399</v>
      </c>
      <c r="B21" s="7" t="s">
        <v>426</v>
      </c>
      <c r="C21" s="22">
        <v>810</v>
      </c>
      <c r="D21" s="22">
        <v>810</v>
      </c>
      <c r="E21" s="22">
        <v>1215</v>
      </c>
      <c r="F21" s="22">
        <v>1215</v>
      </c>
      <c r="G21" s="22">
        <v>830.44</v>
      </c>
      <c r="H21" s="21">
        <v>830</v>
      </c>
      <c r="I21" s="21"/>
      <c r="J21" s="21">
        <v>1214.73</v>
      </c>
      <c r="K21" s="21">
        <v>0</v>
      </c>
      <c r="L21" s="22">
        <f t="shared" si="0"/>
        <v>1214.73</v>
      </c>
    </row>
    <row r="22" spans="1:12" x14ac:dyDescent="0.25">
      <c r="A22" t="s">
        <v>2400</v>
      </c>
      <c r="B22" s="7" t="s">
        <v>1204</v>
      </c>
      <c r="C22" s="22">
        <v>180</v>
      </c>
      <c r="D22" s="22">
        <v>360</v>
      </c>
      <c r="E22" s="22">
        <v>540</v>
      </c>
      <c r="F22" s="22">
        <v>540</v>
      </c>
      <c r="G22" s="22">
        <v>359.9</v>
      </c>
      <c r="H22" s="21">
        <v>360</v>
      </c>
      <c r="I22" s="21"/>
      <c r="J22" s="21">
        <v>539.85</v>
      </c>
      <c r="K22" s="21">
        <v>0</v>
      </c>
      <c r="L22" s="22">
        <f t="shared" si="0"/>
        <v>539.85</v>
      </c>
    </row>
    <row r="23" spans="1:12" x14ac:dyDescent="0.25">
      <c r="A23" t="s">
        <v>2401</v>
      </c>
      <c r="B23" s="7" t="s">
        <v>428</v>
      </c>
      <c r="C23" s="22">
        <v>0</v>
      </c>
      <c r="D23" s="22">
        <v>69</v>
      </c>
      <c r="E23" s="22">
        <v>600</v>
      </c>
      <c r="F23" s="22">
        <v>0</v>
      </c>
      <c r="G23" s="22">
        <v>369.28</v>
      </c>
      <c r="H23" s="21">
        <v>500</v>
      </c>
      <c r="I23" s="21"/>
      <c r="J23" s="21">
        <v>600</v>
      </c>
      <c r="K23" s="21">
        <v>0</v>
      </c>
      <c r="L23" s="22">
        <f t="shared" si="0"/>
        <v>600</v>
      </c>
    </row>
    <row r="24" spans="1:12" x14ac:dyDescent="0.25">
      <c r="A24" t="s">
        <v>2402</v>
      </c>
      <c r="B24" s="7" t="s">
        <v>430</v>
      </c>
      <c r="C24" s="22">
        <v>69</v>
      </c>
      <c r="D24" s="22">
        <v>69</v>
      </c>
      <c r="E24" s="22">
        <v>104</v>
      </c>
      <c r="F24" s="22">
        <v>104</v>
      </c>
      <c r="G24" s="22">
        <v>69.2</v>
      </c>
      <c r="H24" s="21">
        <v>69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2403</v>
      </c>
      <c r="B25" s="7" t="s">
        <v>432</v>
      </c>
      <c r="C25" s="22">
        <v>6669</v>
      </c>
      <c r="D25" s="22">
        <v>21064</v>
      </c>
      <c r="E25" s="22">
        <v>16808</v>
      </c>
      <c r="F25" s="22">
        <v>15000</v>
      </c>
      <c r="G25" s="22">
        <v>18007.78</v>
      </c>
      <c r="H25" s="21">
        <v>19200</v>
      </c>
      <c r="I25" s="21"/>
      <c r="J25" s="21">
        <v>6500</v>
      </c>
      <c r="K25" s="21">
        <v>0</v>
      </c>
      <c r="L25" s="22">
        <f t="shared" si="0"/>
        <v>6500</v>
      </c>
    </row>
    <row r="26" spans="1:12" x14ac:dyDescent="0.25">
      <c r="A26" t="s">
        <v>2404</v>
      </c>
      <c r="B26" s="7" t="s">
        <v>434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1">
        <v>0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2405</v>
      </c>
      <c r="B27" s="7" t="s">
        <v>436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2406</v>
      </c>
      <c r="B28" s="7" t="s">
        <v>607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2407</v>
      </c>
      <c r="B29" s="7" t="s">
        <v>2408</v>
      </c>
      <c r="C29" s="22">
        <v>81932</v>
      </c>
      <c r="D29" s="22">
        <v>83856</v>
      </c>
      <c r="E29" s="22">
        <v>27076</v>
      </c>
      <c r="F29" s="22">
        <v>91756</v>
      </c>
      <c r="G29" s="22">
        <v>25961.55</v>
      </c>
      <c r="H29" s="21">
        <v>36250</v>
      </c>
      <c r="I29" s="21"/>
      <c r="J29" s="21">
        <v>90000</v>
      </c>
      <c r="K29" s="21">
        <v>0</v>
      </c>
      <c r="L29" s="22">
        <f t="shared" si="0"/>
        <v>90000</v>
      </c>
    </row>
    <row r="30" spans="1:12" x14ac:dyDescent="0.25">
      <c r="A30" t="s">
        <v>2409</v>
      </c>
      <c r="B30" s="7" t="s">
        <v>2410</v>
      </c>
      <c r="C30" s="22">
        <v>45618</v>
      </c>
      <c r="D30" s="22">
        <v>67008</v>
      </c>
      <c r="E30" s="22">
        <v>96534</v>
      </c>
      <c r="F30" s="22">
        <v>102103</v>
      </c>
      <c r="G30" s="22">
        <v>83866.289999999994</v>
      </c>
      <c r="H30" s="21">
        <v>94500</v>
      </c>
      <c r="I30" s="21"/>
      <c r="J30" s="21">
        <v>91790.399999999994</v>
      </c>
      <c r="K30" s="21">
        <v>0</v>
      </c>
      <c r="L30" s="22">
        <f t="shared" si="0"/>
        <v>91790.399999999994</v>
      </c>
    </row>
    <row r="31" spans="1:12" x14ac:dyDescent="0.25">
      <c r="A31" t="s">
        <v>2411</v>
      </c>
      <c r="B31" s="7" t="s">
        <v>1221</v>
      </c>
      <c r="C31" s="22">
        <v>675</v>
      </c>
      <c r="D31" s="22">
        <v>975</v>
      </c>
      <c r="E31" s="22">
        <v>1500</v>
      </c>
      <c r="F31" s="22">
        <v>0</v>
      </c>
      <c r="G31" s="22">
        <v>1275</v>
      </c>
      <c r="H31" s="21">
        <v>1500</v>
      </c>
      <c r="I31" s="21"/>
      <c r="J31" s="21">
        <v>975</v>
      </c>
      <c r="K31" s="21">
        <v>0</v>
      </c>
      <c r="L31" s="22">
        <f t="shared" si="0"/>
        <v>975</v>
      </c>
    </row>
    <row r="32" spans="1:12" x14ac:dyDescent="0.25">
      <c r="C32" s="22"/>
      <c r="D32" s="22"/>
      <c r="E32" s="22"/>
      <c r="F32" s="22"/>
      <c r="G32" s="22"/>
      <c r="H32" s="21"/>
      <c r="I32" s="21"/>
      <c r="J32" s="21"/>
      <c r="K32" s="21"/>
      <c r="L32" s="22"/>
    </row>
    <row r="33" spans="1:12" x14ac:dyDescent="0.25">
      <c r="C33" s="22"/>
      <c r="D33" s="22"/>
      <c r="E33" s="22"/>
      <c r="F33" s="22"/>
      <c r="G33" s="22"/>
      <c r="H33" s="21"/>
      <c r="I33" s="21"/>
      <c r="J33" s="21"/>
      <c r="K33" s="21"/>
      <c r="L33" s="22"/>
    </row>
    <row r="34" spans="1:12" x14ac:dyDescent="0.25">
      <c r="A34" t="s">
        <v>109</v>
      </c>
      <c r="C34" s="22"/>
      <c r="D34" s="22"/>
      <c r="E34" s="22"/>
      <c r="F34" s="22"/>
      <c r="G34" s="22"/>
      <c r="H34" s="21"/>
      <c r="I34" s="21"/>
      <c r="J34" s="21"/>
      <c r="K34" s="21"/>
      <c r="L34" s="22"/>
    </row>
    <row r="35" spans="1:12" x14ac:dyDescent="0.25">
      <c r="B35" t="s">
        <v>441</v>
      </c>
      <c r="C35" s="20">
        <f t="shared" ref="C35:H35" si="1">SUM(C13:C31)</f>
        <v>194678</v>
      </c>
      <c r="D35" s="20">
        <f t="shared" si="1"/>
        <v>238563</v>
      </c>
      <c r="E35" s="20">
        <f t="shared" si="1"/>
        <v>208784</v>
      </c>
      <c r="F35" s="20">
        <f t="shared" si="1"/>
        <v>300775</v>
      </c>
      <c r="G35" s="20">
        <f t="shared" si="1"/>
        <v>182136.72999999998</v>
      </c>
      <c r="H35" s="20">
        <f t="shared" si="1"/>
        <v>215161</v>
      </c>
      <c r="I35" s="20"/>
      <c r="J35" s="20">
        <f>SUM(J13:J31)</f>
        <v>267475.99800000002</v>
      </c>
      <c r="K35" s="20">
        <f>SUM(K13:K31)</f>
        <v>0</v>
      </c>
      <c r="L35" s="20">
        <f>SUM(L13:L31)</f>
        <v>267475.99800000002</v>
      </c>
    </row>
    <row r="36" spans="1:12" x14ac:dyDescent="0.25">
      <c r="C36" s="22"/>
      <c r="D36" s="22"/>
      <c r="E36" s="22"/>
      <c r="F36" s="22"/>
      <c r="G36" s="22"/>
      <c r="H36" s="21"/>
      <c r="I36" s="21"/>
      <c r="J36" s="21"/>
      <c r="K36" s="21"/>
      <c r="L36" s="22"/>
    </row>
    <row r="37" spans="1:12" x14ac:dyDescent="0.25">
      <c r="A37" t="s">
        <v>478</v>
      </c>
      <c r="C37" s="22"/>
      <c r="D37" s="22"/>
      <c r="E37" s="22"/>
      <c r="F37" s="22"/>
      <c r="G37" s="22"/>
      <c r="H37" s="21"/>
      <c r="I37" s="21"/>
      <c r="J37" s="21"/>
      <c r="K37" s="21"/>
      <c r="L37" s="22"/>
    </row>
    <row r="38" spans="1:12" x14ac:dyDescent="0.25">
      <c r="A38" t="s">
        <v>18</v>
      </c>
      <c r="B38" s="7" t="s">
        <v>21</v>
      </c>
      <c r="C38" s="22"/>
      <c r="D38" s="22"/>
      <c r="E38" s="22"/>
      <c r="F38" s="22"/>
      <c r="G38" s="22"/>
      <c r="H38" s="21"/>
      <c r="I38" s="21"/>
      <c r="J38" s="21"/>
      <c r="K38" s="21"/>
      <c r="L38" s="22"/>
    </row>
    <row r="39" spans="1:12" x14ac:dyDescent="0.25">
      <c r="A39" t="s">
        <v>2412</v>
      </c>
      <c r="B39" s="7" t="s">
        <v>445</v>
      </c>
      <c r="C39" s="22">
        <v>4322</v>
      </c>
      <c r="D39" s="22">
        <v>3885</v>
      </c>
      <c r="E39" s="22">
        <v>7688</v>
      </c>
      <c r="F39" s="22">
        <v>8457</v>
      </c>
      <c r="G39" s="22">
        <v>8380.8799999999992</v>
      </c>
      <c r="H39" s="21">
        <v>8381</v>
      </c>
      <c r="I39" s="21"/>
      <c r="J39" s="21">
        <f>G39*10%+G39</f>
        <v>9218.9679999999989</v>
      </c>
      <c r="K39" s="21">
        <v>0</v>
      </c>
      <c r="L39" s="22">
        <f>SUM(J39+K39)</f>
        <v>9218.9679999999989</v>
      </c>
    </row>
    <row r="40" spans="1:12" x14ac:dyDescent="0.25">
      <c r="A40" t="s">
        <v>2413</v>
      </c>
      <c r="B40" s="7" t="s">
        <v>447</v>
      </c>
      <c r="C40" s="22">
        <v>2374</v>
      </c>
      <c r="D40" s="22">
        <v>2560</v>
      </c>
      <c r="E40" s="22">
        <v>544</v>
      </c>
      <c r="F40" s="22">
        <v>2000</v>
      </c>
      <c r="G40" s="22">
        <v>1197.8900000000001</v>
      </c>
      <c r="H40" s="21">
        <v>1450</v>
      </c>
      <c r="I40" s="21"/>
      <c r="J40" s="21">
        <v>2000</v>
      </c>
      <c r="K40" s="21">
        <v>0</v>
      </c>
      <c r="L40" s="22">
        <f t="shared" ref="L40:L50" si="2">SUM(J40+K40)</f>
        <v>2000</v>
      </c>
    </row>
    <row r="41" spans="1:12" x14ac:dyDescent="0.25">
      <c r="A41" t="s">
        <v>2414</v>
      </c>
      <c r="B41" s="7" t="s">
        <v>449</v>
      </c>
      <c r="C41" s="22">
        <v>60</v>
      </c>
      <c r="D41" s="22">
        <v>923</v>
      </c>
      <c r="E41" s="22">
        <v>2028</v>
      </c>
      <c r="F41" s="22">
        <v>1200</v>
      </c>
      <c r="G41" s="22">
        <v>569</v>
      </c>
      <c r="H41" s="21">
        <v>569</v>
      </c>
      <c r="I41" s="21"/>
      <c r="J41" s="21">
        <v>1500</v>
      </c>
      <c r="K41" s="21">
        <v>0</v>
      </c>
      <c r="L41" s="22">
        <f t="shared" si="2"/>
        <v>1500</v>
      </c>
    </row>
    <row r="42" spans="1:12" x14ac:dyDescent="0.25">
      <c r="A42" t="s">
        <v>2415</v>
      </c>
      <c r="B42" s="7" t="s">
        <v>451</v>
      </c>
      <c r="C42" s="22">
        <v>3327</v>
      </c>
      <c r="D42" s="22">
        <v>1723</v>
      </c>
      <c r="E42" s="22">
        <v>2901</v>
      </c>
      <c r="F42" s="22">
        <v>3000</v>
      </c>
      <c r="G42" s="22">
        <v>1535</v>
      </c>
      <c r="H42" s="21">
        <v>1535</v>
      </c>
      <c r="I42" s="21"/>
      <c r="J42" s="21">
        <v>1500</v>
      </c>
      <c r="K42" s="21">
        <v>0</v>
      </c>
      <c r="L42" s="22">
        <f t="shared" si="2"/>
        <v>1500</v>
      </c>
    </row>
    <row r="43" spans="1:12" x14ac:dyDescent="0.25">
      <c r="A43" t="s">
        <v>2416</v>
      </c>
      <c r="B43" s="7" t="s">
        <v>457</v>
      </c>
      <c r="C43" s="22">
        <v>640</v>
      </c>
      <c r="D43" s="22">
        <v>200</v>
      </c>
      <c r="E43" s="22">
        <v>0</v>
      </c>
      <c r="F43" s="22">
        <v>1000</v>
      </c>
      <c r="G43" s="22">
        <v>0</v>
      </c>
      <c r="H43" s="21">
        <v>0</v>
      </c>
      <c r="I43" s="21"/>
      <c r="J43" s="21">
        <v>1000</v>
      </c>
      <c r="K43" s="21">
        <v>0</v>
      </c>
      <c r="L43" s="22">
        <f t="shared" si="2"/>
        <v>1000</v>
      </c>
    </row>
    <row r="44" spans="1:12" x14ac:dyDescent="0.25">
      <c r="A44" t="s">
        <v>2417</v>
      </c>
      <c r="B44" s="7" t="s">
        <v>471</v>
      </c>
      <c r="C44" s="22">
        <v>629</v>
      </c>
      <c r="D44" s="22">
        <v>834</v>
      </c>
      <c r="E44" s="22">
        <v>369</v>
      </c>
      <c r="F44" s="22">
        <v>900</v>
      </c>
      <c r="G44" s="22">
        <v>393.5</v>
      </c>
      <c r="H44" s="21">
        <v>750</v>
      </c>
      <c r="I44" s="21"/>
      <c r="J44" s="21">
        <v>900</v>
      </c>
      <c r="K44" s="21">
        <v>0</v>
      </c>
      <c r="L44" s="22">
        <f t="shared" si="2"/>
        <v>900</v>
      </c>
    </row>
    <row r="45" spans="1:12" x14ac:dyDescent="0.25">
      <c r="A45" t="s">
        <v>2418</v>
      </c>
      <c r="B45" s="7" t="s">
        <v>1047</v>
      </c>
      <c r="C45" s="22">
        <v>70379</v>
      </c>
      <c r="D45" s="22">
        <v>64486</v>
      </c>
      <c r="E45" s="22">
        <v>67205</v>
      </c>
      <c r="F45" s="22">
        <v>80000</v>
      </c>
      <c r="G45" s="22">
        <v>56881.1</v>
      </c>
      <c r="H45" s="21">
        <v>69000</v>
      </c>
      <c r="I45" s="21"/>
      <c r="J45" s="21">
        <v>80000</v>
      </c>
      <c r="K45" s="21">
        <v>0</v>
      </c>
      <c r="L45" s="22">
        <f t="shared" si="2"/>
        <v>80000</v>
      </c>
    </row>
    <row r="46" spans="1:12" x14ac:dyDescent="0.25">
      <c r="A46" t="s">
        <v>2419</v>
      </c>
      <c r="B46" s="7" t="s">
        <v>473</v>
      </c>
      <c r="C46" s="22">
        <v>14378</v>
      </c>
      <c r="D46" s="22">
        <v>18544</v>
      </c>
      <c r="E46" s="22">
        <v>64003</v>
      </c>
      <c r="F46" s="22">
        <v>120000</v>
      </c>
      <c r="G46" s="22">
        <v>156877</v>
      </c>
      <c r="H46" s="21">
        <v>160000</v>
      </c>
      <c r="I46" s="21"/>
      <c r="J46" s="21">
        <v>245000</v>
      </c>
      <c r="K46" s="21">
        <v>0</v>
      </c>
      <c r="L46" s="22">
        <f t="shared" si="2"/>
        <v>245000</v>
      </c>
    </row>
    <row r="47" spans="1:12" x14ac:dyDescent="0.25">
      <c r="A47" t="s">
        <v>2420</v>
      </c>
      <c r="B47" s="7" t="s">
        <v>1241</v>
      </c>
      <c r="C47" s="22">
        <v>17762</v>
      </c>
      <c r="D47" s="22">
        <v>11900</v>
      </c>
      <c r="E47" s="22">
        <v>6663</v>
      </c>
      <c r="F47" s="22">
        <v>0</v>
      </c>
      <c r="G47" s="22">
        <v>92360</v>
      </c>
      <c r="H47" s="21">
        <v>93000</v>
      </c>
      <c r="I47" s="21"/>
      <c r="J47" s="21">
        <v>0</v>
      </c>
      <c r="K47" s="21">
        <v>0</v>
      </c>
      <c r="L47" s="22">
        <f t="shared" si="2"/>
        <v>0</v>
      </c>
    </row>
    <row r="48" spans="1:12" x14ac:dyDescent="0.25">
      <c r="A48" t="s">
        <v>2421</v>
      </c>
      <c r="B48" s="7" t="s">
        <v>626</v>
      </c>
      <c r="C48" s="22">
        <v>92</v>
      </c>
      <c r="D48" s="22">
        <v>204</v>
      </c>
      <c r="E48" s="22">
        <v>4564</v>
      </c>
      <c r="F48" s="22">
        <v>1200</v>
      </c>
      <c r="G48" s="22">
        <v>18702.66</v>
      </c>
      <c r="H48" s="21">
        <v>19250</v>
      </c>
      <c r="I48" s="21"/>
      <c r="J48" s="21">
        <v>20000</v>
      </c>
      <c r="K48" s="21">
        <v>0</v>
      </c>
      <c r="L48" s="22">
        <f t="shared" si="2"/>
        <v>20000</v>
      </c>
    </row>
    <row r="49" spans="1:12" x14ac:dyDescent="0.25">
      <c r="A49" t="s">
        <v>2422</v>
      </c>
      <c r="B49" s="7" t="s">
        <v>1246</v>
      </c>
      <c r="C49" s="22">
        <v>0</v>
      </c>
      <c r="D49" s="22">
        <v>0</v>
      </c>
      <c r="E49" s="22">
        <v>0</v>
      </c>
      <c r="F49" s="22">
        <v>0</v>
      </c>
      <c r="G49" s="22">
        <v>516.78</v>
      </c>
      <c r="H49" s="21">
        <v>750</v>
      </c>
      <c r="I49" s="21"/>
      <c r="J49" s="21">
        <v>1200</v>
      </c>
      <c r="K49" s="21">
        <v>0</v>
      </c>
      <c r="L49" s="22">
        <f t="shared" si="2"/>
        <v>1200</v>
      </c>
    </row>
    <row r="50" spans="1:12" x14ac:dyDescent="0.25">
      <c r="A50" t="s">
        <v>2423</v>
      </c>
      <c r="B50" s="7" t="s">
        <v>477</v>
      </c>
      <c r="C50" s="22">
        <v>0</v>
      </c>
      <c r="D50" s="22">
        <v>892</v>
      </c>
      <c r="E50" s="22">
        <v>9</v>
      </c>
      <c r="F50" s="22">
        <v>1500</v>
      </c>
      <c r="G50" s="22">
        <v>0</v>
      </c>
      <c r="H50" s="21">
        <v>0</v>
      </c>
      <c r="I50" s="21"/>
      <c r="J50" s="21">
        <v>4000</v>
      </c>
      <c r="K50" s="21">
        <v>0</v>
      </c>
      <c r="L50" s="22">
        <f t="shared" si="2"/>
        <v>4000</v>
      </c>
    </row>
    <row r="51" spans="1:12" x14ac:dyDescent="0.25">
      <c r="C51" s="22"/>
      <c r="D51" s="22"/>
      <c r="E51" s="22"/>
      <c r="F51" s="22"/>
      <c r="G51" s="22"/>
      <c r="H51" s="21"/>
      <c r="I51" s="21"/>
      <c r="J51" s="21"/>
      <c r="K51" s="21"/>
      <c r="L51" s="22"/>
    </row>
    <row r="52" spans="1:12" x14ac:dyDescent="0.25">
      <c r="C52" s="22"/>
      <c r="D52" s="22"/>
      <c r="E52" s="22"/>
      <c r="F52" s="22"/>
      <c r="G52" s="22"/>
      <c r="H52" s="21"/>
      <c r="I52" s="21"/>
      <c r="J52" s="21"/>
      <c r="K52" s="21"/>
      <c r="L52" s="22"/>
    </row>
    <row r="53" spans="1:12" x14ac:dyDescent="0.25">
      <c r="A53" t="s">
        <v>109</v>
      </c>
      <c r="C53" s="22"/>
      <c r="D53" s="22"/>
      <c r="E53" s="22"/>
      <c r="F53" s="22"/>
      <c r="G53" s="22"/>
      <c r="H53" s="21"/>
      <c r="I53" s="21"/>
      <c r="J53" s="21"/>
      <c r="K53" s="21"/>
      <c r="L53" s="22"/>
    </row>
    <row r="54" spans="1:12" x14ac:dyDescent="0.25">
      <c r="B54" t="s">
        <v>478</v>
      </c>
      <c r="C54" s="20">
        <f t="shared" ref="C54:H54" si="3">SUM(C39:C50)</f>
        <v>113963</v>
      </c>
      <c r="D54" s="20">
        <f t="shared" si="3"/>
        <v>106151</v>
      </c>
      <c r="E54" s="20">
        <f t="shared" si="3"/>
        <v>155974</v>
      </c>
      <c r="F54" s="20">
        <f t="shared" si="3"/>
        <v>219257</v>
      </c>
      <c r="G54" s="20">
        <f t="shared" si="3"/>
        <v>337413.81</v>
      </c>
      <c r="H54" s="20">
        <f t="shared" si="3"/>
        <v>354685</v>
      </c>
      <c r="I54" s="20"/>
      <c r="J54" s="20">
        <f>SUM(J39:J50)</f>
        <v>366318.96799999999</v>
      </c>
      <c r="K54" s="20">
        <f>SUM(K39:K50)</f>
        <v>0</v>
      </c>
      <c r="L54" s="20">
        <f>SUM(L39:L50)</f>
        <v>366318.96799999999</v>
      </c>
    </row>
    <row r="55" spans="1:12" x14ac:dyDescent="0.25">
      <c r="C55" s="22"/>
      <c r="D55" s="22"/>
      <c r="E55" s="22"/>
      <c r="F55" s="22"/>
      <c r="G55" s="22"/>
      <c r="H55" s="21"/>
      <c r="I55" s="21"/>
      <c r="J55" s="21"/>
      <c r="K55" s="21"/>
      <c r="L55" s="22"/>
    </row>
    <row r="56" spans="1:12" x14ac:dyDescent="0.25">
      <c r="A56" t="s">
        <v>489</v>
      </c>
      <c r="C56" s="22"/>
      <c r="D56" s="22"/>
      <c r="E56" s="22"/>
      <c r="F56" s="22"/>
      <c r="G56" s="22"/>
      <c r="H56" s="21"/>
      <c r="I56" s="21"/>
      <c r="J56" s="21"/>
      <c r="K56" s="21"/>
      <c r="L56" s="22"/>
    </row>
    <row r="57" spans="1:12" x14ac:dyDescent="0.25">
      <c r="A57" t="s">
        <v>18</v>
      </c>
      <c r="C57" s="22"/>
      <c r="D57" s="22"/>
      <c r="E57" s="22"/>
      <c r="F57" s="22"/>
      <c r="G57" s="22"/>
      <c r="H57" s="21"/>
      <c r="I57" s="21"/>
      <c r="J57" s="21"/>
      <c r="K57" s="21"/>
      <c r="L57" s="22"/>
    </row>
    <row r="58" spans="1:12" x14ac:dyDescent="0.25">
      <c r="A58" t="s">
        <v>2424</v>
      </c>
      <c r="B58" s="7" t="s">
        <v>491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1">
        <v>0</v>
      </c>
      <c r="I58" s="21"/>
      <c r="J58" s="21">
        <v>0</v>
      </c>
      <c r="K58" s="21">
        <v>0</v>
      </c>
      <c r="L58" s="22">
        <f>SUM(J58+K58)</f>
        <v>0</v>
      </c>
    </row>
    <row r="59" spans="1:12" x14ac:dyDescent="0.25">
      <c r="A59" t="s">
        <v>2425</v>
      </c>
      <c r="B59" s="7" t="s">
        <v>489</v>
      </c>
      <c r="C59" s="22">
        <v>2427</v>
      </c>
      <c r="D59" s="22">
        <v>5293</v>
      </c>
      <c r="E59" s="22">
        <v>9736</v>
      </c>
      <c r="F59" s="22">
        <v>12000</v>
      </c>
      <c r="G59" s="22">
        <v>9324.25</v>
      </c>
      <c r="H59" s="21">
        <v>10000</v>
      </c>
      <c r="I59" s="21"/>
      <c r="J59" s="21">
        <v>15000</v>
      </c>
      <c r="K59" s="21">
        <v>0</v>
      </c>
      <c r="L59" s="22">
        <f t="shared" ref="L59:L65" si="4">SUM(J59+K59)</f>
        <v>15000</v>
      </c>
    </row>
    <row r="60" spans="1:12" x14ac:dyDescent="0.25">
      <c r="A60" t="s">
        <v>2426</v>
      </c>
      <c r="B60" s="7" t="s">
        <v>1252</v>
      </c>
      <c r="C60" s="22">
        <v>0</v>
      </c>
      <c r="D60" s="22">
        <v>0</v>
      </c>
      <c r="E60" s="22">
        <v>1703</v>
      </c>
      <c r="F60" s="22">
        <v>0</v>
      </c>
      <c r="G60" s="22">
        <v>4584.16</v>
      </c>
      <c r="H60" s="21">
        <v>5000</v>
      </c>
      <c r="I60" s="21"/>
      <c r="J60" s="21">
        <v>2500</v>
      </c>
      <c r="K60" s="21">
        <v>0</v>
      </c>
      <c r="L60" s="22">
        <f t="shared" si="4"/>
        <v>2500</v>
      </c>
    </row>
    <row r="61" spans="1:12" x14ac:dyDescent="0.25">
      <c r="A61" t="s">
        <v>2427</v>
      </c>
      <c r="B61" s="7" t="s">
        <v>496</v>
      </c>
      <c r="C61" s="22">
        <v>3906</v>
      </c>
      <c r="D61" s="22">
        <v>3788</v>
      </c>
      <c r="E61" s="22">
        <v>6104</v>
      </c>
      <c r="F61" s="22">
        <v>7500</v>
      </c>
      <c r="G61" s="22">
        <v>4466.26</v>
      </c>
      <c r="H61" s="21">
        <v>4750</v>
      </c>
      <c r="I61" s="21"/>
      <c r="J61" s="21">
        <v>8000</v>
      </c>
      <c r="K61" s="21">
        <v>0</v>
      </c>
      <c r="L61" s="22">
        <f t="shared" si="4"/>
        <v>8000</v>
      </c>
    </row>
    <row r="62" spans="1:12" x14ac:dyDescent="0.25">
      <c r="A62" t="s">
        <v>2428</v>
      </c>
      <c r="B62" s="7" t="s">
        <v>1259</v>
      </c>
      <c r="C62" s="22">
        <v>33808</v>
      </c>
      <c r="D62" s="22">
        <v>29542</v>
      </c>
      <c r="E62" s="22">
        <v>28219</v>
      </c>
      <c r="F62" s="22">
        <v>40000</v>
      </c>
      <c r="G62" s="22">
        <v>27063.21</v>
      </c>
      <c r="H62" s="21">
        <v>30000</v>
      </c>
      <c r="I62" s="21"/>
      <c r="J62" s="21">
        <v>50000</v>
      </c>
      <c r="K62" s="21">
        <v>0</v>
      </c>
      <c r="L62" s="22">
        <f t="shared" si="4"/>
        <v>50000</v>
      </c>
    </row>
    <row r="63" spans="1:12" x14ac:dyDescent="0.25">
      <c r="A63" t="s">
        <v>2429</v>
      </c>
      <c r="B63" s="7" t="s">
        <v>2430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1">
        <v>0</v>
      </c>
      <c r="I63" s="21"/>
      <c r="J63" s="21">
        <v>0</v>
      </c>
      <c r="K63" s="21">
        <v>0</v>
      </c>
      <c r="L63" s="22">
        <f t="shared" si="4"/>
        <v>0</v>
      </c>
    </row>
    <row r="64" spans="1:12" hidden="1" x14ac:dyDescent="0.25">
      <c r="A64" t="s">
        <v>2431</v>
      </c>
      <c r="B64" s="7" t="s">
        <v>498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1">
        <v>0</v>
      </c>
      <c r="I64" s="21"/>
      <c r="J64" s="21">
        <v>0</v>
      </c>
      <c r="K64" s="21">
        <v>0</v>
      </c>
      <c r="L64" s="22">
        <f t="shared" si="4"/>
        <v>0</v>
      </c>
    </row>
    <row r="65" spans="1:12" hidden="1" x14ac:dyDescent="0.25">
      <c r="A65" t="s">
        <v>2432</v>
      </c>
      <c r="B65" s="7" t="s">
        <v>500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1">
        <v>0</v>
      </c>
      <c r="I65" s="21"/>
      <c r="J65" s="21">
        <v>0</v>
      </c>
      <c r="K65" s="21">
        <v>0</v>
      </c>
      <c r="L65" s="22">
        <f t="shared" si="4"/>
        <v>0</v>
      </c>
    </row>
    <row r="66" spans="1:12" x14ac:dyDescent="0.25">
      <c r="C66" s="22"/>
      <c r="D66" s="22"/>
      <c r="E66" s="22"/>
      <c r="F66" s="22"/>
      <c r="G66" s="22"/>
      <c r="H66" s="21"/>
      <c r="I66" s="21"/>
      <c r="J66" s="21"/>
      <c r="K66" s="21"/>
      <c r="L66" s="22"/>
    </row>
    <row r="67" spans="1:12" x14ac:dyDescent="0.25">
      <c r="C67" s="22"/>
      <c r="D67" s="22"/>
      <c r="E67" s="22"/>
      <c r="F67" s="22"/>
      <c r="G67" s="22"/>
      <c r="H67" s="21"/>
      <c r="I67" s="21"/>
      <c r="J67" s="21"/>
      <c r="K67" s="21"/>
      <c r="L67" s="22"/>
    </row>
    <row r="68" spans="1:12" x14ac:dyDescent="0.25">
      <c r="A68" t="s">
        <v>109</v>
      </c>
      <c r="C68" s="22"/>
      <c r="D68" s="22"/>
      <c r="E68" s="22"/>
      <c r="F68" s="22"/>
      <c r="G68" s="22"/>
      <c r="H68" s="21"/>
      <c r="I68" s="21"/>
      <c r="J68" s="21"/>
      <c r="K68" s="21"/>
      <c r="L68" s="22"/>
    </row>
    <row r="69" spans="1:12" x14ac:dyDescent="0.25">
      <c r="B69" t="s">
        <v>489</v>
      </c>
      <c r="C69" s="20">
        <f t="shared" ref="C69:H69" si="5">SUM(C58:C65)</f>
        <v>40141</v>
      </c>
      <c r="D69" s="20">
        <f t="shared" si="5"/>
        <v>38623</v>
      </c>
      <c r="E69" s="20">
        <f t="shared" si="5"/>
        <v>45762</v>
      </c>
      <c r="F69" s="20">
        <f t="shared" si="5"/>
        <v>59500</v>
      </c>
      <c r="G69" s="20">
        <f t="shared" si="5"/>
        <v>45437.88</v>
      </c>
      <c r="H69" s="20">
        <f t="shared" si="5"/>
        <v>49750</v>
      </c>
      <c r="I69" s="20"/>
      <c r="J69" s="20">
        <f>SUM(J58:J65)</f>
        <v>75500</v>
      </c>
      <c r="K69" s="20">
        <f>SUM(K58:K65)</f>
        <v>0</v>
      </c>
      <c r="L69" s="20">
        <f>SUM(L58:L65)</f>
        <v>75500</v>
      </c>
    </row>
    <row r="70" spans="1:12" x14ac:dyDescent="0.25">
      <c r="A70" t="s">
        <v>110</v>
      </c>
      <c r="C70" s="22"/>
      <c r="D70" s="22"/>
      <c r="E70" s="22"/>
      <c r="F70" s="22"/>
      <c r="G70" s="22"/>
      <c r="H70" s="21"/>
      <c r="I70" s="21"/>
      <c r="J70" s="21"/>
      <c r="K70" s="21"/>
      <c r="L70" s="22"/>
    </row>
    <row r="71" spans="1:12" x14ac:dyDescent="0.25">
      <c r="A71" t="s">
        <v>501</v>
      </c>
      <c r="C71" s="22"/>
      <c r="D71" s="22"/>
      <c r="E71" s="22"/>
      <c r="F71" s="22"/>
      <c r="G71" s="22"/>
      <c r="H71" s="21"/>
      <c r="I71" s="21"/>
      <c r="J71" s="21"/>
      <c r="K71" s="21"/>
      <c r="L71" s="22"/>
    </row>
    <row r="72" spans="1:12" x14ac:dyDescent="0.25">
      <c r="A72" t="s">
        <v>18</v>
      </c>
      <c r="C72" s="22"/>
      <c r="D72" s="22"/>
      <c r="E72" s="22"/>
      <c r="F72" s="22"/>
      <c r="G72" s="22"/>
      <c r="H72" s="21"/>
      <c r="I72" s="21"/>
      <c r="J72" s="21"/>
      <c r="K72" s="21"/>
      <c r="L72" s="22"/>
    </row>
    <row r="73" spans="1:12" x14ac:dyDescent="0.25">
      <c r="A73" t="s">
        <v>2433</v>
      </c>
      <c r="B73" s="7" t="s">
        <v>2261</v>
      </c>
      <c r="C73" s="22">
        <v>9635</v>
      </c>
      <c r="D73" s="22">
        <v>12845</v>
      </c>
      <c r="E73" s="22">
        <v>10509</v>
      </c>
      <c r="F73" s="22">
        <v>12500</v>
      </c>
      <c r="G73" s="22">
        <v>6237.5</v>
      </c>
      <c r="H73" s="21">
        <v>7000</v>
      </c>
      <c r="I73" s="21"/>
      <c r="J73" s="21">
        <v>14000</v>
      </c>
      <c r="K73" s="21">
        <v>0</v>
      </c>
      <c r="L73" s="22">
        <f>SUM(J73+K73)</f>
        <v>14000</v>
      </c>
    </row>
    <row r="74" spans="1:12" x14ac:dyDescent="0.25">
      <c r="A74" t="s">
        <v>2434</v>
      </c>
      <c r="B74" s="7" t="s">
        <v>509</v>
      </c>
      <c r="C74" s="22">
        <v>6528</v>
      </c>
      <c r="D74" s="22">
        <v>5596</v>
      </c>
      <c r="E74" s="22">
        <v>11456</v>
      </c>
      <c r="F74" s="22">
        <v>6000</v>
      </c>
      <c r="G74" s="22">
        <v>60330.15</v>
      </c>
      <c r="H74" s="21">
        <v>75000</v>
      </c>
      <c r="I74" s="21"/>
      <c r="J74" s="21">
        <v>6000</v>
      </c>
      <c r="K74" s="21">
        <v>0</v>
      </c>
      <c r="L74" s="22">
        <f t="shared" ref="L74:L77" si="6">SUM(J74+K74)</f>
        <v>6000</v>
      </c>
    </row>
    <row r="75" spans="1:12" x14ac:dyDescent="0.25">
      <c r="A75" t="s">
        <v>2435</v>
      </c>
      <c r="B75" s="7" t="s">
        <v>519</v>
      </c>
      <c r="C75" s="22">
        <v>0</v>
      </c>
      <c r="D75" s="22">
        <v>135</v>
      </c>
      <c r="E75" s="22">
        <v>1459</v>
      </c>
      <c r="F75" s="22">
        <v>2500</v>
      </c>
      <c r="G75" s="22">
        <v>0</v>
      </c>
      <c r="H75" s="21">
        <v>0</v>
      </c>
      <c r="I75" s="21"/>
      <c r="J75" s="21">
        <v>2500</v>
      </c>
      <c r="K75" s="21">
        <v>0</v>
      </c>
      <c r="L75" s="22">
        <f t="shared" si="6"/>
        <v>2500</v>
      </c>
    </row>
    <row r="76" spans="1:12" x14ac:dyDescent="0.25">
      <c r="A76" t="s">
        <v>2436</v>
      </c>
      <c r="B76" s="7" t="s">
        <v>521</v>
      </c>
      <c r="C76" s="22">
        <v>0</v>
      </c>
      <c r="D76" s="22">
        <v>0</v>
      </c>
      <c r="E76" s="22">
        <v>0</v>
      </c>
      <c r="F76" s="22">
        <v>250</v>
      </c>
      <c r="G76" s="22">
        <v>0</v>
      </c>
      <c r="H76" s="21">
        <v>0</v>
      </c>
      <c r="I76" s="21"/>
      <c r="J76" s="21">
        <v>0</v>
      </c>
      <c r="K76" s="21">
        <v>0</v>
      </c>
      <c r="L76" s="22">
        <f t="shared" si="6"/>
        <v>0</v>
      </c>
    </row>
    <row r="77" spans="1:12" x14ac:dyDescent="0.25">
      <c r="A77" t="s">
        <v>2437</v>
      </c>
      <c r="B77" s="7" t="s">
        <v>1085</v>
      </c>
      <c r="C77" s="22">
        <v>57056</v>
      </c>
      <c r="D77" s="22">
        <v>89838</v>
      </c>
      <c r="E77" s="22">
        <v>106733</v>
      </c>
      <c r="F77" s="22">
        <v>150000</v>
      </c>
      <c r="G77" s="22">
        <v>206403</v>
      </c>
      <c r="H77" s="21">
        <v>210000</v>
      </c>
      <c r="I77" s="21"/>
      <c r="J77" s="21">
        <v>150000</v>
      </c>
      <c r="K77" s="21">
        <v>0</v>
      </c>
      <c r="L77" s="22">
        <f t="shared" si="6"/>
        <v>150000</v>
      </c>
    </row>
    <row r="78" spans="1:12" x14ac:dyDescent="0.25">
      <c r="C78" s="22"/>
      <c r="D78" s="22"/>
      <c r="E78" s="22"/>
      <c r="F78" s="22"/>
      <c r="G78" s="22"/>
      <c r="H78" s="21"/>
      <c r="I78" s="21"/>
      <c r="J78" s="21"/>
      <c r="K78" s="21"/>
      <c r="L78" s="22"/>
    </row>
    <row r="79" spans="1:12" x14ac:dyDescent="0.25">
      <c r="C79" s="22"/>
      <c r="D79" s="22"/>
      <c r="E79" s="22"/>
      <c r="F79" s="22"/>
      <c r="G79" s="22"/>
      <c r="H79" s="21"/>
      <c r="I79" s="21"/>
      <c r="J79" s="21"/>
      <c r="K79" s="21"/>
      <c r="L79" s="22"/>
    </row>
    <row r="80" spans="1:12" x14ac:dyDescent="0.25">
      <c r="A80" t="s">
        <v>109</v>
      </c>
      <c r="C80" s="22"/>
      <c r="D80" s="22"/>
      <c r="E80" s="22"/>
      <c r="F80" s="22"/>
      <c r="G80" s="22"/>
      <c r="H80" s="21"/>
      <c r="I80" s="21"/>
      <c r="J80" s="21"/>
      <c r="K80" s="21"/>
      <c r="L80" s="22"/>
    </row>
    <row r="81" spans="1:12" x14ac:dyDescent="0.25">
      <c r="B81" t="s">
        <v>501</v>
      </c>
      <c r="C81" s="20">
        <f t="shared" ref="C81:H81" si="7">SUM(C73:C77)</f>
        <v>73219</v>
      </c>
      <c r="D81" s="20">
        <f t="shared" si="7"/>
        <v>108414</v>
      </c>
      <c r="E81" s="20">
        <f t="shared" si="7"/>
        <v>130157</v>
      </c>
      <c r="F81" s="20">
        <f t="shared" si="7"/>
        <v>171250</v>
      </c>
      <c r="G81" s="20">
        <f t="shared" si="7"/>
        <v>272970.65000000002</v>
      </c>
      <c r="H81" s="20">
        <f t="shared" si="7"/>
        <v>292000</v>
      </c>
      <c r="I81" s="20"/>
      <c r="J81" s="20">
        <f>SUM(J73:J77)</f>
        <v>172500</v>
      </c>
      <c r="K81" s="20">
        <f>SUM(K73:K77)</f>
        <v>0</v>
      </c>
      <c r="L81" s="20">
        <f>SUM(L73:L77)</f>
        <v>172500</v>
      </c>
    </row>
    <row r="82" spans="1:12" x14ac:dyDescent="0.25">
      <c r="C82" s="22"/>
      <c r="D82" s="22"/>
      <c r="E82" s="22"/>
      <c r="F82" s="22"/>
      <c r="G82" s="22"/>
      <c r="H82" s="21"/>
      <c r="I82" s="21"/>
      <c r="J82" s="21"/>
      <c r="K82" s="21"/>
      <c r="L82" s="22"/>
    </row>
    <row r="83" spans="1:12" x14ac:dyDescent="0.25">
      <c r="A83" t="s">
        <v>530</v>
      </c>
      <c r="C83" s="22"/>
      <c r="D83" s="22"/>
      <c r="E83" s="22"/>
      <c r="F83" s="22"/>
      <c r="G83" s="22"/>
      <c r="H83" s="21"/>
      <c r="I83" s="21"/>
      <c r="J83" s="21"/>
      <c r="K83" s="21"/>
      <c r="L83" s="22"/>
    </row>
    <row r="84" spans="1:12" x14ac:dyDescent="0.25">
      <c r="A84" t="s">
        <v>18</v>
      </c>
      <c r="B84" s="7" t="s">
        <v>526</v>
      </c>
      <c r="C84" s="22"/>
      <c r="D84" s="22"/>
      <c r="E84" s="22"/>
      <c r="F84" s="22"/>
      <c r="G84" s="22"/>
      <c r="H84" s="21"/>
      <c r="I84" s="21"/>
      <c r="J84" s="21"/>
      <c r="K84" s="21"/>
      <c r="L84" s="22"/>
    </row>
    <row r="85" spans="1:12" x14ac:dyDescent="0.25">
      <c r="A85" t="s">
        <v>2438</v>
      </c>
      <c r="B85" s="7" t="s">
        <v>1282</v>
      </c>
      <c r="C85" s="22">
        <v>0</v>
      </c>
      <c r="D85" s="22">
        <v>0</v>
      </c>
      <c r="E85" s="22">
        <v>0</v>
      </c>
      <c r="F85" s="22">
        <v>22000</v>
      </c>
      <c r="G85" s="22">
        <v>8957.24</v>
      </c>
      <c r="H85" s="21">
        <v>8957</v>
      </c>
      <c r="I85" s="21"/>
      <c r="J85" s="21">
        <v>0</v>
      </c>
      <c r="K85" s="21">
        <v>300000</v>
      </c>
      <c r="L85" s="22">
        <f>SUM(J85+K85)</f>
        <v>300000</v>
      </c>
    </row>
    <row r="86" spans="1:12" x14ac:dyDescent="0.25">
      <c r="B86" s="7" t="s">
        <v>3758</v>
      </c>
      <c r="C86" s="22"/>
      <c r="D86" s="22"/>
      <c r="E86" s="22"/>
      <c r="F86" s="22"/>
      <c r="G86" s="22"/>
      <c r="H86" s="21"/>
      <c r="I86" s="21"/>
      <c r="J86" s="21"/>
      <c r="K86" s="21"/>
      <c r="L86" s="22"/>
    </row>
    <row r="87" spans="1:12" x14ac:dyDescent="0.25">
      <c r="A87" t="s">
        <v>2439</v>
      </c>
      <c r="B87" s="7" t="s">
        <v>534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1">
        <v>0</v>
      </c>
      <c r="I87" s="21"/>
      <c r="J87" s="21">
        <v>0</v>
      </c>
      <c r="K87" s="21">
        <v>0</v>
      </c>
      <c r="L87" s="22">
        <f t="shared" ref="L87:L88" si="8">SUM(J87+K87)</f>
        <v>0</v>
      </c>
    </row>
    <row r="88" spans="1:12" x14ac:dyDescent="0.25">
      <c r="A88" t="s">
        <v>2440</v>
      </c>
      <c r="B88" s="7" t="s">
        <v>2441</v>
      </c>
      <c r="C88" s="22">
        <v>0</v>
      </c>
      <c r="D88" s="22">
        <v>0</v>
      </c>
      <c r="E88" s="22">
        <v>0</v>
      </c>
      <c r="F88" s="22">
        <v>630000</v>
      </c>
      <c r="G88" s="22">
        <v>491793.5</v>
      </c>
      <c r="H88" s="21">
        <v>630000</v>
      </c>
      <c r="I88" s="21"/>
      <c r="J88" s="21">
        <v>2370000</v>
      </c>
      <c r="K88" s="21">
        <v>0</v>
      </c>
      <c r="L88" s="22">
        <f t="shared" si="8"/>
        <v>2370000</v>
      </c>
    </row>
    <row r="89" spans="1:12" x14ac:dyDescent="0.25">
      <c r="C89" s="22"/>
      <c r="D89" s="22"/>
      <c r="E89" s="22"/>
      <c r="F89" s="22"/>
      <c r="G89" s="22"/>
      <c r="H89" s="21"/>
      <c r="I89" s="21"/>
      <c r="J89" s="21"/>
      <c r="K89" s="21"/>
      <c r="L89" s="22"/>
    </row>
    <row r="90" spans="1:12" x14ac:dyDescent="0.25">
      <c r="C90" s="22"/>
      <c r="D90" s="22"/>
      <c r="E90" s="22"/>
      <c r="F90" s="22"/>
      <c r="G90" s="22"/>
      <c r="H90" s="21"/>
      <c r="I90" s="21"/>
      <c r="J90" s="21"/>
      <c r="K90" s="21"/>
      <c r="L90" s="22"/>
    </row>
    <row r="91" spans="1:12" x14ac:dyDescent="0.25">
      <c r="A91" t="s">
        <v>109</v>
      </c>
      <c r="C91" s="22"/>
      <c r="D91" s="22"/>
      <c r="E91" s="22"/>
      <c r="F91" s="22"/>
      <c r="G91" s="22"/>
      <c r="H91" s="21"/>
      <c r="I91" s="21"/>
      <c r="J91" s="21"/>
      <c r="K91" s="21"/>
      <c r="L91" s="22"/>
    </row>
    <row r="92" spans="1:12" x14ac:dyDescent="0.25">
      <c r="B92" t="s">
        <v>530</v>
      </c>
      <c r="C92" s="20">
        <f t="shared" ref="C92:H92" si="9">SUM(C85:C88)</f>
        <v>0</v>
      </c>
      <c r="D92" s="20">
        <f t="shared" si="9"/>
        <v>0</v>
      </c>
      <c r="E92" s="20">
        <f t="shared" si="9"/>
        <v>0</v>
      </c>
      <c r="F92" s="20">
        <f t="shared" si="9"/>
        <v>652000</v>
      </c>
      <c r="G92" s="20">
        <f t="shared" si="9"/>
        <v>500750.74</v>
      </c>
      <c r="H92" s="20">
        <f t="shared" si="9"/>
        <v>638957</v>
      </c>
      <c r="I92" s="20"/>
      <c r="J92" s="20">
        <f>SUM(J85:J88)</f>
        <v>2370000</v>
      </c>
      <c r="K92" s="20">
        <f>SUM(K85:K88)</f>
        <v>300000</v>
      </c>
      <c r="L92" s="20">
        <f>SUM(L85:L88)</f>
        <v>2670000</v>
      </c>
    </row>
    <row r="93" spans="1:12" x14ac:dyDescent="0.25">
      <c r="C93" s="22"/>
      <c r="D93" s="22"/>
      <c r="E93" s="22"/>
      <c r="F93" s="22"/>
      <c r="G93" s="22"/>
      <c r="H93" s="21"/>
      <c r="I93" s="21"/>
      <c r="J93" s="21"/>
      <c r="K93" s="21"/>
      <c r="L93" s="22"/>
    </row>
    <row r="94" spans="1:12" x14ac:dyDescent="0.25">
      <c r="C94" s="22"/>
      <c r="D94" s="22"/>
      <c r="E94" s="22"/>
      <c r="F94" s="22"/>
      <c r="G94" s="22"/>
      <c r="H94" s="21"/>
      <c r="I94" s="21"/>
      <c r="J94" s="21"/>
      <c r="K94" s="21"/>
      <c r="L94" s="22"/>
    </row>
    <row r="95" spans="1:12" x14ac:dyDescent="0.25">
      <c r="A95" t="s">
        <v>109</v>
      </c>
      <c r="C95" s="22"/>
      <c r="D95" s="22"/>
      <c r="E95" s="22"/>
      <c r="F95" s="22"/>
      <c r="G95" s="22"/>
      <c r="H95" s="21"/>
      <c r="I95" s="21"/>
      <c r="J95" s="21"/>
      <c r="K95" s="21"/>
      <c r="L95" s="22"/>
    </row>
    <row r="96" spans="1:12" x14ac:dyDescent="0.25">
      <c r="A96">
        <v>75</v>
      </c>
      <c r="B96" t="s">
        <v>3761</v>
      </c>
      <c r="C96" s="20">
        <f t="shared" ref="C96:H96" si="10">C35+C54+C69+C81+C92</f>
        <v>422001</v>
      </c>
      <c r="D96" s="20">
        <f t="shared" si="10"/>
        <v>491751</v>
      </c>
      <c r="E96" s="20">
        <f t="shared" si="10"/>
        <v>540677</v>
      </c>
      <c r="F96" s="20">
        <f t="shared" si="10"/>
        <v>1402782</v>
      </c>
      <c r="G96" s="20">
        <f t="shared" si="10"/>
        <v>1338709.81</v>
      </c>
      <c r="H96" s="20">
        <f t="shared" si="10"/>
        <v>1550553</v>
      </c>
      <c r="I96" s="20"/>
      <c r="J96" s="20">
        <f>J35+J54+J69+J81+J92</f>
        <v>3251794.966</v>
      </c>
      <c r="K96" s="20">
        <f>K35+K54+K69+K81+K92</f>
        <v>300000</v>
      </c>
      <c r="L96" s="20">
        <f>L35+L54+L69+L81+L92</f>
        <v>3551794.966</v>
      </c>
    </row>
    <row r="97" spans="3:12" x14ac:dyDescent="0.25">
      <c r="C97" s="22"/>
      <c r="D97" s="22"/>
      <c r="E97" s="22"/>
      <c r="F97" s="22"/>
      <c r="G97" s="22"/>
      <c r="H97" s="21"/>
      <c r="I97" s="21"/>
      <c r="J97" s="21"/>
      <c r="K97" s="21"/>
      <c r="L97" s="22"/>
    </row>
    <row r="98" spans="3:12" x14ac:dyDescent="0.25">
      <c r="C98" s="22"/>
      <c r="D98" s="22"/>
      <c r="E98" s="22"/>
      <c r="F98" s="22"/>
      <c r="G98" s="22"/>
      <c r="H98" s="21"/>
      <c r="I98" s="21"/>
      <c r="J98" s="21"/>
      <c r="K98" s="21"/>
      <c r="L98" s="22"/>
    </row>
  </sheetData>
  <sheetProtection algorithmName="SHA-512" hashValue="bYfnAQe3Vg+E7/qJYiiZAknA4sy1UuG1YLmep4+VSC+v407ij9kNonrHhd1OKEPThuH0ljhlXuH0/xjbxTtRzw==" saltValue="oXhbkNqEaxHsbxN+ZJg1Dw==" spinCount="100000" sheet="1" insertRows="0"/>
  <pageMargins left="0.25" right="0.25" top="0.75" bottom="0.75" header="0.3" footer="0.3"/>
  <pageSetup scale="76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ABF45-B9AA-4DF6-BA32-3158F1DC640A}">
  <sheetPr>
    <pageSetUpPr fitToPage="1"/>
  </sheetPr>
  <dimension ref="A1:L98"/>
  <sheetViews>
    <sheetView zoomScaleNormal="100" workbookViewId="0">
      <selection activeCell="J23" sqref="J23"/>
    </sheetView>
  </sheetViews>
  <sheetFormatPr defaultRowHeight="15" x14ac:dyDescent="0.25"/>
  <cols>
    <col min="2" max="2" width="32.5703125" style="7" bestFit="1" customWidth="1"/>
    <col min="3" max="3" width="13.140625" style="12" bestFit="1" customWidth="1"/>
    <col min="4" max="4" width="14.85546875" style="12" bestFit="1" customWidth="1"/>
    <col min="5" max="5" width="13.85546875" style="12" bestFit="1" customWidth="1"/>
    <col min="6" max="6" width="14" style="12" bestFit="1" customWidth="1"/>
    <col min="7" max="7" width="12.7109375" style="12" bestFit="1" customWidth="1"/>
    <col min="8" max="8" width="13.140625" style="11" bestFit="1" customWidth="1"/>
    <col min="9" max="9" width="10.7109375" style="11" customWidth="1"/>
    <col min="10" max="10" width="13.140625" style="11" bestFit="1" customWidth="1"/>
    <col min="11" max="11" width="14.5703125" style="11" bestFit="1" customWidth="1"/>
    <col min="12" max="12" width="14" style="12" bestFit="1" customWidth="1"/>
  </cols>
  <sheetData>
    <row r="1" spans="1:12" x14ac:dyDescent="0.25">
      <c r="A1" t="s">
        <v>3726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3762</v>
      </c>
    </row>
    <row r="11" spans="1:12" x14ac:dyDescent="0.25">
      <c r="A11" t="s">
        <v>441</v>
      </c>
    </row>
    <row r="12" spans="1:12" x14ac:dyDescent="0.25">
      <c r="A12" t="s">
        <v>18</v>
      </c>
      <c r="B12" s="7" t="s">
        <v>228</v>
      </c>
      <c r="C12" s="22"/>
      <c r="D12" s="22"/>
      <c r="E12" s="22"/>
      <c r="F12" s="22"/>
      <c r="G12" s="22"/>
      <c r="H12" s="21"/>
      <c r="I12" s="21"/>
      <c r="J12" s="21"/>
      <c r="K12" s="21"/>
      <c r="L12" s="22"/>
    </row>
    <row r="13" spans="1:12" x14ac:dyDescent="0.25">
      <c r="A13" t="s">
        <v>2444</v>
      </c>
      <c r="B13" s="7" t="s">
        <v>569</v>
      </c>
      <c r="C13" s="22">
        <v>3289</v>
      </c>
      <c r="D13" s="22">
        <v>-3467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2445</v>
      </c>
      <c r="B14" s="7" t="s">
        <v>396</v>
      </c>
      <c r="C14" s="22">
        <v>27</v>
      </c>
      <c r="D14" s="22">
        <v>27</v>
      </c>
      <c r="E14" s="22">
        <v>234</v>
      </c>
      <c r="F14" s="22">
        <v>756</v>
      </c>
      <c r="G14" s="22">
        <v>170.66</v>
      </c>
      <c r="H14" s="21">
        <v>180</v>
      </c>
      <c r="I14" s="21"/>
      <c r="J14" s="21">
        <v>189</v>
      </c>
      <c r="K14" s="21">
        <v>0</v>
      </c>
      <c r="L14" s="22">
        <f t="shared" ref="L14:L32" si="0">SUM(J14+K14)</f>
        <v>189</v>
      </c>
    </row>
    <row r="15" spans="1:12" x14ac:dyDescent="0.25">
      <c r="A15" t="s">
        <v>2446</v>
      </c>
      <c r="B15" s="7" t="s">
        <v>398</v>
      </c>
      <c r="C15" s="22">
        <v>9407</v>
      </c>
      <c r="D15" s="22">
        <v>10974</v>
      </c>
      <c r="E15" s="22">
        <v>8359</v>
      </c>
      <c r="F15" s="22">
        <v>11244</v>
      </c>
      <c r="G15" s="22">
        <v>5024.6000000000004</v>
      </c>
      <c r="H15" s="21">
        <v>6000</v>
      </c>
      <c r="I15" s="21"/>
      <c r="J15" s="21">
        <v>7074.09</v>
      </c>
      <c r="K15" s="21">
        <v>0</v>
      </c>
      <c r="L15" s="22">
        <f t="shared" si="0"/>
        <v>7074.09</v>
      </c>
    </row>
    <row r="16" spans="1:12" x14ac:dyDescent="0.25">
      <c r="A16" t="s">
        <v>2447</v>
      </c>
      <c r="B16" s="7" t="s">
        <v>400</v>
      </c>
      <c r="C16" s="22">
        <v>10126</v>
      </c>
      <c r="D16" s="22">
        <v>11845</v>
      </c>
      <c r="E16" s="22">
        <v>9760</v>
      </c>
      <c r="F16" s="22">
        <v>13949</v>
      </c>
      <c r="G16" s="22">
        <v>4530.8999999999996</v>
      </c>
      <c r="H16" s="21">
        <v>6150</v>
      </c>
      <c r="I16" s="21"/>
      <c r="J16" s="21">
        <f>2135.78+6261.97</f>
        <v>8397.75</v>
      </c>
      <c r="K16" s="21">
        <v>0</v>
      </c>
      <c r="L16" s="22">
        <f t="shared" si="0"/>
        <v>8397.75</v>
      </c>
    </row>
    <row r="17" spans="1:12" x14ac:dyDescent="0.25">
      <c r="A17" t="s">
        <v>2448</v>
      </c>
      <c r="B17" s="7" t="s">
        <v>574</v>
      </c>
      <c r="C17" s="22">
        <v>33798</v>
      </c>
      <c r="D17" s="22">
        <v>20734</v>
      </c>
      <c r="E17" s="22">
        <v>21727</v>
      </c>
      <c r="F17" s="22">
        <v>42239</v>
      </c>
      <c r="G17" s="22">
        <v>12155.71</v>
      </c>
      <c r="H17" s="21">
        <v>15000</v>
      </c>
      <c r="I17" s="21"/>
      <c r="J17" s="21">
        <v>25165.68</v>
      </c>
      <c r="K17" s="21">
        <v>0</v>
      </c>
      <c r="L17" s="22">
        <f t="shared" si="0"/>
        <v>25165.68</v>
      </c>
    </row>
    <row r="18" spans="1:12" x14ac:dyDescent="0.25">
      <c r="A18" t="s">
        <v>2449</v>
      </c>
      <c r="B18" s="7" t="s">
        <v>404</v>
      </c>
      <c r="C18" s="22">
        <v>1826</v>
      </c>
      <c r="D18" s="22">
        <v>1762</v>
      </c>
      <c r="E18" s="22">
        <v>1318</v>
      </c>
      <c r="F18" s="22">
        <v>1962</v>
      </c>
      <c r="G18" s="22">
        <v>644.15</v>
      </c>
      <c r="H18" s="21">
        <v>720</v>
      </c>
      <c r="I18" s="21"/>
      <c r="J18" s="21">
        <v>1440</v>
      </c>
      <c r="K18" s="21">
        <v>0</v>
      </c>
      <c r="L18" s="22">
        <f t="shared" si="0"/>
        <v>1440</v>
      </c>
    </row>
    <row r="19" spans="1:12" x14ac:dyDescent="0.25">
      <c r="A19" t="s">
        <v>2450</v>
      </c>
      <c r="B19" s="7" t="s">
        <v>406</v>
      </c>
      <c r="C19" s="22">
        <v>618</v>
      </c>
      <c r="D19" s="22">
        <v>2046</v>
      </c>
      <c r="E19" s="22">
        <v>2710</v>
      </c>
      <c r="F19" s="22">
        <v>2981</v>
      </c>
      <c r="G19" s="22">
        <v>3874.66</v>
      </c>
      <c r="H19" s="21">
        <v>3875</v>
      </c>
      <c r="I19" s="21"/>
      <c r="J19" s="21">
        <f>G19*10%+G19</f>
        <v>4262.1260000000002</v>
      </c>
      <c r="K19" s="21">
        <v>0</v>
      </c>
      <c r="L19" s="22">
        <f t="shared" si="0"/>
        <v>4262.1260000000002</v>
      </c>
    </row>
    <row r="20" spans="1:12" x14ac:dyDescent="0.25">
      <c r="A20" t="s">
        <v>2451</v>
      </c>
      <c r="B20" s="7" t="s">
        <v>424</v>
      </c>
      <c r="C20" s="22">
        <v>484</v>
      </c>
      <c r="D20" s="22">
        <v>796</v>
      </c>
      <c r="E20" s="22">
        <v>657</v>
      </c>
      <c r="F20" s="22">
        <v>761</v>
      </c>
      <c r="G20" s="22">
        <v>346.02</v>
      </c>
      <c r="H20" s="21">
        <v>346</v>
      </c>
      <c r="I20" s="21"/>
      <c r="J20" s="21">
        <v>346.02</v>
      </c>
      <c r="K20" s="21">
        <v>0</v>
      </c>
      <c r="L20" s="22">
        <f t="shared" si="0"/>
        <v>346.02</v>
      </c>
    </row>
    <row r="21" spans="1:12" x14ac:dyDescent="0.25">
      <c r="A21" t="s">
        <v>2452</v>
      </c>
      <c r="B21" s="7" t="s">
        <v>426</v>
      </c>
      <c r="C21" s="22">
        <v>810</v>
      </c>
      <c r="D21" s="22">
        <v>1215</v>
      </c>
      <c r="E21" s="22">
        <v>810</v>
      </c>
      <c r="F21" s="22">
        <v>810</v>
      </c>
      <c r="G21" s="22">
        <v>415.22</v>
      </c>
      <c r="H21" s="21">
        <v>415</v>
      </c>
      <c r="I21" s="21"/>
      <c r="J21" s="21">
        <v>809.82</v>
      </c>
      <c r="K21" s="21">
        <v>0</v>
      </c>
      <c r="L21" s="22">
        <f t="shared" si="0"/>
        <v>809.82</v>
      </c>
    </row>
    <row r="22" spans="1:12" x14ac:dyDescent="0.25">
      <c r="A22" t="s">
        <v>2453</v>
      </c>
      <c r="B22" s="7" t="s">
        <v>1204</v>
      </c>
      <c r="C22" s="22">
        <v>540</v>
      </c>
      <c r="D22" s="22">
        <v>540</v>
      </c>
      <c r="E22" s="22">
        <v>360</v>
      </c>
      <c r="F22" s="22">
        <v>360</v>
      </c>
      <c r="G22" s="22">
        <v>179.95</v>
      </c>
      <c r="H22" s="21">
        <v>180</v>
      </c>
      <c r="I22" s="21"/>
      <c r="J22" s="21">
        <v>359.9</v>
      </c>
      <c r="K22" s="21">
        <v>0</v>
      </c>
      <c r="L22" s="22">
        <f t="shared" si="0"/>
        <v>359.9</v>
      </c>
    </row>
    <row r="23" spans="1:12" x14ac:dyDescent="0.25">
      <c r="A23" t="s">
        <v>2454</v>
      </c>
      <c r="B23" s="7" t="s">
        <v>428</v>
      </c>
      <c r="C23" s="22">
        <v>600</v>
      </c>
      <c r="D23" s="22">
        <v>392</v>
      </c>
      <c r="E23" s="22">
        <v>0</v>
      </c>
      <c r="F23" s="22">
        <v>0</v>
      </c>
      <c r="G23" s="22">
        <v>69.239999999999995</v>
      </c>
      <c r="H23" s="21">
        <v>150</v>
      </c>
      <c r="I23" s="21"/>
      <c r="J23" s="21">
        <v>0</v>
      </c>
      <c r="K23" s="21">
        <v>0</v>
      </c>
      <c r="L23" s="22">
        <f t="shared" si="0"/>
        <v>0</v>
      </c>
    </row>
    <row r="24" spans="1:12" x14ac:dyDescent="0.25">
      <c r="A24" t="s">
        <v>2455</v>
      </c>
      <c r="B24" s="7" t="s">
        <v>430</v>
      </c>
      <c r="C24" s="22">
        <v>104</v>
      </c>
      <c r="D24" s="22">
        <v>104</v>
      </c>
      <c r="E24" s="22">
        <v>69</v>
      </c>
      <c r="F24" s="22">
        <v>35</v>
      </c>
      <c r="G24" s="22">
        <v>34.6</v>
      </c>
      <c r="H24" s="21">
        <v>35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2456</v>
      </c>
      <c r="B25" s="7" t="s">
        <v>432</v>
      </c>
      <c r="C25" s="22">
        <v>8307</v>
      </c>
      <c r="D25" s="22">
        <v>18886</v>
      </c>
      <c r="E25" s="22">
        <v>8406</v>
      </c>
      <c r="F25" s="22">
        <v>8000</v>
      </c>
      <c r="G25" s="22">
        <v>4765.17</v>
      </c>
      <c r="H25" s="21">
        <v>5000</v>
      </c>
      <c r="I25" s="21"/>
      <c r="J25" s="21">
        <v>8000</v>
      </c>
      <c r="K25" s="21">
        <v>0</v>
      </c>
      <c r="L25" s="22">
        <f t="shared" si="0"/>
        <v>8000</v>
      </c>
    </row>
    <row r="26" spans="1:12" x14ac:dyDescent="0.25">
      <c r="A26" t="s">
        <v>2457</v>
      </c>
      <c r="B26" s="7" t="s">
        <v>434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1">
        <v>0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2458</v>
      </c>
      <c r="B27" s="7" t="s">
        <v>436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2459</v>
      </c>
      <c r="B28" s="7" t="s">
        <v>607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2460</v>
      </c>
      <c r="B29" s="7" t="s">
        <v>2461</v>
      </c>
      <c r="C29" s="22">
        <v>42997</v>
      </c>
      <c r="D29" s="22">
        <v>52031</v>
      </c>
      <c r="E29" s="22">
        <v>52224</v>
      </c>
      <c r="F29" s="22">
        <v>54928</v>
      </c>
      <c r="G29" s="22">
        <v>11005.21</v>
      </c>
      <c r="H29" s="21">
        <v>11005</v>
      </c>
      <c r="I29" s="21"/>
      <c r="J29" s="21">
        <v>0</v>
      </c>
      <c r="K29" s="21">
        <v>0</v>
      </c>
      <c r="L29" s="22">
        <f t="shared" si="0"/>
        <v>0</v>
      </c>
    </row>
    <row r="30" spans="1:12" x14ac:dyDescent="0.25">
      <c r="A30" t="s">
        <v>2462</v>
      </c>
      <c r="B30" s="7" t="s">
        <v>2463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1">
        <v>0</v>
      </c>
      <c r="I30" s="21"/>
      <c r="J30" s="21">
        <v>0</v>
      </c>
      <c r="K30" s="21">
        <v>0</v>
      </c>
      <c r="L30" s="22">
        <f t="shared" si="0"/>
        <v>0</v>
      </c>
    </row>
    <row r="31" spans="1:12" x14ac:dyDescent="0.25">
      <c r="A31" t="s">
        <v>2464</v>
      </c>
      <c r="B31" s="7" t="s">
        <v>2465</v>
      </c>
      <c r="C31" s="22">
        <v>68947</v>
      </c>
      <c r="D31" s="22">
        <v>68053</v>
      </c>
      <c r="E31" s="22">
        <v>46513</v>
      </c>
      <c r="F31" s="22">
        <v>89434</v>
      </c>
      <c r="G31" s="22">
        <v>50182.74</v>
      </c>
      <c r="H31" s="21">
        <v>59000</v>
      </c>
      <c r="I31" s="21"/>
      <c r="J31" s="21">
        <v>82056</v>
      </c>
      <c r="K31" s="21">
        <v>0</v>
      </c>
      <c r="L31" s="22">
        <f t="shared" si="0"/>
        <v>82056</v>
      </c>
    </row>
    <row r="32" spans="1:12" x14ac:dyDescent="0.25">
      <c r="A32" t="s">
        <v>2466</v>
      </c>
      <c r="B32" s="7" t="s">
        <v>1221</v>
      </c>
      <c r="C32" s="22">
        <v>1725</v>
      </c>
      <c r="D32" s="22">
        <v>1650</v>
      </c>
      <c r="E32" s="22">
        <v>1050</v>
      </c>
      <c r="F32" s="22">
        <v>0</v>
      </c>
      <c r="G32" s="22">
        <v>375</v>
      </c>
      <c r="H32" s="21">
        <v>500</v>
      </c>
      <c r="I32" s="21"/>
      <c r="J32" s="21">
        <v>900</v>
      </c>
      <c r="K32" s="21">
        <v>0</v>
      </c>
      <c r="L32" s="22">
        <f t="shared" si="0"/>
        <v>900</v>
      </c>
    </row>
    <row r="33" spans="1:12" x14ac:dyDescent="0.25">
      <c r="C33" s="22"/>
      <c r="D33" s="22"/>
      <c r="E33" s="22"/>
      <c r="F33" s="22"/>
      <c r="G33" s="22"/>
      <c r="H33" s="21"/>
      <c r="I33" s="21"/>
      <c r="J33" s="21"/>
      <c r="K33" s="21"/>
      <c r="L33" s="22"/>
    </row>
    <row r="34" spans="1:12" x14ac:dyDescent="0.25">
      <c r="C34" s="22"/>
      <c r="D34" s="22"/>
      <c r="E34" s="22"/>
      <c r="F34" s="22"/>
      <c r="G34" s="22"/>
      <c r="H34" s="21"/>
      <c r="I34" s="21"/>
      <c r="J34" s="21"/>
      <c r="K34" s="21"/>
      <c r="L34" s="22"/>
    </row>
    <row r="35" spans="1:12" x14ac:dyDescent="0.25">
      <c r="A35" t="s">
        <v>109</v>
      </c>
      <c r="C35" s="22"/>
      <c r="D35" s="22"/>
      <c r="E35" s="22"/>
      <c r="F35" s="22"/>
      <c r="G35" s="22"/>
      <c r="H35" s="21"/>
      <c r="I35" s="21"/>
      <c r="J35" s="21"/>
      <c r="K35" s="21"/>
      <c r="L35" s="22"/>
    </row>
    <row r="36" spans="1:12" x14ac:dyDescent="0.25">
      <c r="B36" t="s">
        <v>441</v>
      </c>
      <c r="C36" s="20">
        <f t="shared" ref="C36:H36" si="1">SUM(C13:C32)</f>
        <v>183605</v>
      </c>
      <c r="D36" s="20">
        <f t="shared" si="1"/>
        <v>187588</v>
      </c>
      <c r="E36" s="20">
        <f t="shared" si="1"/>
        <v>154197</v>
      </c>
      <c r="F36" s="20">
        <f t="shared" si="1"/>
        <v>227459</v>
      </c>
      <c r="G36" s="20">
        <f t="shared" si="1"/>
        <v>93773.83</v>
      </c>
      <c r="H36" s="20">
        <f t="shared" si="1"/>
        <v>108556</v>
      </c>
      <c r="I36" s="20"/>
      <c r="J36" s="20">
        <f>SUM(J13:J32)</f>
        <v>139000.386</v>
      </c>
      <c r="K36" s="20">
        <f>SUM(K13:K32)</f>
        <v>0</v>
      </c>
      <c r="L36" s="20">
        <f>SUM(L13:L32)</f>
        <v>139000.386</v>
      </c>
    </row>
    <row r="37" spans="1:12" x14ac:dyDescent="0.25">
      <c r="C37" s="22"/>
      <c r="D37" s="22"/>
      <c r="E37" s="22"/>
      <c r="F37" s="22"/>
      <c r="G37" s="22"/>
      <c r="H37" s="21"/>
      <c r="I37" s="21"/>
      <c r="J37" s="21"/>
      <c r="K37" s="21"/>
      <c r="L37" s="22"/>
    </row>
    <row r="38" spans="1:12" x14ac:dyDescent="0.25">
      <c r="A38" t="s">
        <v>478</v>
      </c>
      <c r="C38" s="22"/>
      <c r="D38" s="22"/>
      <c r="E38" s="22"/>
      <c r="F38" s="22"/>
      <c r="G38" s="22"/>
      <c r="H38" s="21"/>
      <c r="I38" s="21"/>
      <c r="J38" s="21"/>
      <c r="K38" s="21"/>
      <c r="L38" s="22"/>
    </row>
    <row r="39" spans="1:12" x14ac:dyDescent="0.25">
      <c r="A39" t="s">
        <v>18</v>
      </c>
      <c r="B39" s="7" t="s">
        <v>21</v>
      </c>
      <c r="C39" s="22"/>
      <c r="D39" s="22"/>
      <c r="E39" s="22"/>
      <c r="F39" s="22"/>
      <c r="G39" s="22"/>
      <c r="H39" s="21"/>
      <c r="I39" s="21"/>
      <c r="J39" s="21"/>
      <c r="K39" s="21"/>
      <c r="L39" s="22"/>
    </row>
    <row r="40" spans="1:12" x14ac:dyDescent="0.25">
      <c r="A40" t="s">
        <v>2467</v>
      </c>
      <c r="B40" s="7" t="s">
        <v>445</v>
      </c>
      <c r="C40" s="22">
        <v>2953</v>
      </c>
      <c r="D40" s="22">
        <v>673</v>
      </c>
      <c r="E40" s="22">
        <v>3124</v>
      </c>
      <c r="F40" s="22">
        <v>3436</v>
      </c>
      <c r="G40" s="22">
        <v>3256.51</v>
      </c>
      <c r="H40" s="21">
        <v>3257</v>
      </c>
      <c r="I40" s="21"/>
      <c r="J40" s="21">
        <f>G40*10%+G40</f>
        <v>3582.1610000000001</v>
      </c>
      <c r="K40" s="21">
        <v>0</v>
      </c>
      <c r="L40" s="22">
        <f>SUM(J40+K40)</f>
        <v>3582.1610000000001</v>
      </c>
    </row>
    <row r="41" spans="1:12" x14ac:dyDescent="0.25">
      <c r="A41" t="s">
        <v>2468</v>
      </c>
      <c r="B41" s="7" t="s">
        <v>447</v>
      </c>
      <c r="C41" s="22">
        <v>456</v>
      </c>
      <c r="D41" s="22">
        <v>1909</v>
      </c>
      <c r="E41" s="22">
        <v>363</v>
      </c>
      <c r="F41" s="22">
        <v>500</v>
      </c>
      <c r="G41" s="22">
        <v>272.95</v>
      </c>
      <c r="H41" s="21">
        <v>273</v>
      </c>
      <c r="I41" s="21"/>
      <c r="J41" s="21">
        <v>1500</v>
      </c>
      <c r="K41" s="21">
        <v>0</v>
      </c>
      <c r="L41" s="22">
        <f t="shared" ref="L41:L53" si="2">SUM(J41+K41)</f>
        <v>1500</v>
      </c>
    </row>
    <row r="42" spans="1:12" x14ac:dyDescent="0.25">
      <c r="A42" t="s">
        <v>2469</v>
      </c>
      <c r="B42" s="7" t="s">
        <v>449</v>
      </c>
      <c r="C42" s="22">
        <v>0</v>
      </c>
      <c r="D42" s="22">
        <v>392</v>
      </c>
      <c r="E42" s="22">
        <v>0</v>
      </c>
      <c r="F42" s="22">
        <v>250</v>
      </c>
      <c r="G42" s="22">
        <v>0</v>
      </c>
      <c r="H42" s="21">
        <v>0</v>
      </c>
      <c r="I42" s="21"/>
      <c r="J42" s="21">
        <v>1200</v>
      </c>
      <c r="K42" s="21">
        <v>0</v>
      </c>
      <c r="L42" s="22">
        <f t="shared" si="2"/>
        <v>1200</v>
      </c>
    </row>
    <row r="43" spans="1:12" x14ac:dyDescent="0.25">
      <c r="A43" t="s">
        <v>2470</v>
      </c>
      <c r="B43" s="7" t="s">
        <v>451</v>
      </c>
      <c r="C43" s="22">
        <v>0</v>
      </c>
      <c r="D43" s="22">
        <v>1381</v>
      </c>
      <c r="E43" s="22">
        <v>1114</v>
      </c>
      <c r="F43" s="22">
        <v>2000</v>
      </c>
      <c r="G43" s="22">
        <v>855</v>
      </c>
      <c r="H43" s="21">
        <v>855</v>
      </c>
      <c r="I43" s="21"/>
      <c r="J43" s="21">
        <v>2000</v>
      </c>
      <c r="K43" s="21">
        <v>0</v>
      </c>
      <c r="L43" s="22">
        <f t="shared" si="2"/>
        <v>2000</v>
      </c>
    </row>
    <row r="44" spans="1:12" x14ac:dyDescent="0.25">
      <c r="A44" t="s">
        <v>2471</v>
      </c>
      <c r="B44" s="7" t="s">
        <v>465</v>
      </c>
      <c r="C44" s="22">
        <v>0</v>
      </c>
      <c r="D44" s="22">
        <v>0</v>
      </c>
      <c r="E44" s="22">
        <v>0</v>
      </c>
      <c r="F44" s="22">
        <v>1000</v>
      </c>
      <c r="G44" s="22">
        <v>0</v>
      </c>
      <c r="H44" s="21">
        <v>0</v>
      </c>
      <c r="I44" s="21"/>
      <c r="J44" s="21">
        <v>1000</v>
      </c>
      <c r="K44" s="21">
        <v>0</v>
      </c>
      <c r="L44" s="22">
        <f t="shared" si="2"/>
        <v>1000</v>
      </c>
    </row>
    <row r="45" spans="1:12" x14ac:dyDescent="0.25">
      <c r="A45" t="s">
        <v>2472</v>
      </c>
      <c r="B45" s="7" t="s">
        <v>471</v>
      </c>
      <c r="C45" s="22">
        <v>578</v>
      </c>
      <c r="D45" s="22">
        <v>966</v>
      </c>
      <c r="E45" s="22">
        <v>763</v>
      </c>
      <c r="F45" s="22">
        <v>900</v>
      </c>
      <c r="G45" s="22">
        <v>787</v>
      </c>
      <c r="H45" s="21">
        <v>880</v>
      </c>
      <c r="I45" s="21"/>
      <c r="J45" s="21">
        <v>900</v>
      </c>
      <c r="K45" s="21">
        <v>0</v>
      </c>
      <c r="L45" s="22">
        <f t="shared" si="2"/>
        <v>900</v>
      </c>
    </row>
    <row r="46" spans="1:12" x14ac:dyDescent="0.25">
      <c r="A46" t="s">
        <v>2473</v>
      </c>
      <c r="B46" s="7" t="s">
        <v>1047</v>
      </c>
      <c r="C46" s="22">
        <v>37797</v>
      </c>
      <c r="D46" s="22">
        <v>35411</v>
      </c>
      <c r="E46" s="22">
        <v>42643</v>
      </c>
      <c r="F46" s="22">
        <v>58000</v>
      </c>
      <c r="G46" s="22">
        <v>42408.06</v>
      </c>
      <c r="H46" s="21">
        <v>48000</v>
      </c>
      <c r="I46" s="21"/>
      <c r="J46" s="21">
        <v>56000</v>
      </c>
      <c r="K46" s="21">
        <v>0</v>
      </c>
      <c r="L46" s="22">
        <f t="shared" si="2"/>
        <v>56000</v>
      </c>
    </row>
    <row r="47" spans="1:12" x14ac:dyDescent="0.25">
      <c r="A47" t="s">
        <v>2474</v>
      </c>
      <c r="B47" s="7" t="s">
        <v>473</v>
      </c>
      <c r="C47" s="22">
        <v>19965</v>
      </c>
      <c r="D47" s="22">
        <v>10320</v>
      </c>
      <c r="E47" s="22">
        <v>31982</v>
      </c>
      <c r="F47" s="22">
        <v>80000</v>
      </c>
      <c r="G47" s="22">
        <v>69960.710000000006</v>
      </c>
      <c r="H47" s="21">
        <v>73000</v>
      </c>
      <c r="I47" s="21"/>
      <c r="J47" s="21">
        <v>150000</v>
      </c>
      <c r="K47" s="21">
        <v>0</v>
      </c>
      <c r="L47" s="22">
        <f t="shared" si="2"/>
        <v>150000</v>
      </c>
    </row>
    <row r="48" spans="1:12" x14ac:dyDescent="0.25">
      <c r="A48" t="s">
        <v>2475</v>
      </c>
      <c r="B48" s="7" t="s">
        <v>2476</v>
      </c>
      <c r="C48" s="22">
        <v>100</v>
      </c>
      <c r="D48" s="22">
        <v>0</v>
      </c>
      <c r="E48" s="22">
        <v>0</v>
      </c>
      <c r="F48" s="22">
        <v>0</v>
      </c>
      <c r="G48" s="22">
        <v>0</v>
      </c>
      <c r="H48" s="21">
        <v>0</v>
      </c>
      <c r="I48" s="21"/>
      <c r="J48" s="21">
        <v>3000</v>
      </c>
      <c r="K48" s="21">
        <v>0</v>
      </c>
      <c r="L48" s="22">
        <f t="shared" si="2"/>
        <v>3000</v>
      </c>
    </row>
    <row r="49" spans="1:12" x14ac:dyDescent="0.25">
      <c r="A49" t="s">
        <v>2477</v>
      </c>
      <c r="B49" s="7" t="s">
        <v>1241</v>
      </c>
      <c r="C49" s="22">
        <v>2415</v>
      </c>
      <c r="D49" s="22">
        <v>0</v>
      </c>
      <c r="E49" s="22">
        <v>0</v>
      </c>
      <c r="F49" s="22">
        <v>0</v>
      </c>
      <c r="G49" s="22">
        <v>0</v>
      </c>
      <c r="H49" s="21">
        <v>0</v>
      </c>
      <c r="I49" s="21"/>
      <c r="J49" s="21">
        <v>0</v>
      </c>
      <c r="K49" s="21">
        <v>0</v>
      </c>
      <c r="L49" s="22">
        <f t="shared" si="2"/>
        <v>0</v>
      </c>
    </row>
    <row r="50" spans="1:12" x14ac:dyDescent="0.25">
      <c r="A50" t="s">
        <v>2478</v>
      </c>
      <c r="B50" s="7" t="s">
        <v>626</v>
      </c>
      <c r="C50" s="22">
        <v>1632</v>
      </c>
      <c r="D50" s="22">
        <v>2962</v>
      </c>
      <c r="E50" s="22">
        <v>1652</v>
      </c>
      <c r="F50" s="22">
        <v>3000</v>
      </c>
      <c r="G50" s="22">
        <v>2559.31</v>
      </c>
      <c r="H50" s="21">
        <v>3000</v>
      </c>
      <c r="I50" s="21"/>
      <c r="J50" s="21">
        <v>3500</v>
      </c>
      <c r="K50" s="21">
        <v>0</v>
      </c>
      <c r="L50" s="22">
        <f t="shared" si="2"/>
        <v>3500</v>
      </c>
    </row>
    <row r="51" spans="1:12" x14ac:dyDescent="0.25">
      <c r="A51" t="s">
        <v>2479</v>
      </c>
      <c r="B51" s="7" t="s">
        <v>1246</v>
      </c>
      <c r="C51" s="22">
        <v>3564</v>
      </c>
      <c r="D51" s="22">
        <v>0</v>
      </c>
      <c r="E51" s="22">
        <v>503</v>
      </c>
      <c r="F51" s="22">
        <v>0</v>
      </c>
      <c r="G51" s="22">
        <v>516.78</v>
      </c>
      <c r="H51" s="21">
        <v>1000</v>
      </c>
      <c r="I51" s="21"/>
      <c r="J51" s="21">
        <v>1000</v>
      </c>
      <c r="K51" s="21">
        <v>0</v>
      </c>
      <c r="L51" s="22">
        <f t="shared" si="2"/>
        <v>1000</v>
      </c>
    </row>
    <row r="52" spans="1:12" x14ac:dyDescent="0.25">
      <c r="A52" t="s">
        <v>2480</v>
      </c>
      <c r="B52" s="7" t="s">
        <v>475</v>
      </c>
      <c r="C52" s="22">
        <v>278</v>
      </c>
      <c r="D52" s="22">
        <v>83</v>
      </c>
      <c r="E52" s="22">
        <v>21</v>
      </c>
      <c r="F52" s="22">
        <v>250</v>
      </c>
      <c r="G52" s="22">
        <v>0</v>
      </c>
      <c r="H52" s="21">
        <v>0</v>
      </c>
      <c r="I52" s="21"/>
      <c r="J52" s="21">
        <v>250</v>
      </c>
      <c r="K52" s="21">
        <v>0</v>
      </c>
      <c r="L52" s="22">
        <f t="shared" si="2"/>
        <v>250</v>
      </c>
    </row>
    <row r="53" spans="1:12" x14ac:dyDescent="0.25">
      <c r="A53" t="s">
        <v>2481</v>
      </c>
      <c r="B53" s="7" t="s">
        <v>477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1">
        <v>0</v>
      </c>
      <c r="I53" s="21"/>
      <c r="J53" s="21">
        <v>5000</v>
      </c>
      <c r="K53" s="21">
        <v>0</v>
      </c>
      <c r="L53" s="22">
        <f t="shared" si="2"/>
        <v>5000</v>
      </c>
    </row>
    <row r="54" spans="1:12" x14ac:dyDescent="0.25">
      <c r="C54" s="22"/>
      <c r="D54" s="22"/>
      <c r="E54" s="22"/>
      <c r="F54" s="22"/>
      <c r="G54" s="22"/>
      <c r="H54" s="21"/>
      <c r="I54" s="21"/>
      <c r="J54" s="21"/>
      <c r="K54" s="21"/>
      <c r="L54" s="22"/>
    </row>
    <row r="55" spans="1:12" x14ac:dyDescent="0.25">
      <c r="C55" s="22"/>
      <c r="D55" s="22"/>
      <c r="E55" s="22"/>
      <c r="F55" s="22"/>
      <c r="G55" s="22"/>
      <c r="H55" s="21"/>
      <c r="I55" s="21"/>
      <c r="J55" s="21"/>
      <c r="K55" s="21"/>
      <c r="L55" s="22"/>
    </row>
    <row r="56" spans="1:12" x14ac:dyDescent="0.25">
      <c r="A56" t="s">
        <v>109</v>
      </c>
      <c r="C56" s="22"/>
      <c r="D56" s="22"/>
      <c r="E56" s="22"/>
      <c r="F56" s="22"/>
      <c r="G56" s="22"/>
      <c r="H56" s="21"/>
      <c r="I56" s="21"/>
      <c r="J56" s="21"/>
      <c r="K56" s="21"/>
      <c r="L56" s="22"/>
    </row>
    <row r="57" spans="1:12" x14ac:dyDescent="0.25">
      <c r="B57" t="s">
        <v>478</v>
      </c>
      <c r="C57" s="20">
        <f t="shared" ref="C57:H57" si="3">SUM(C40:C53)</f>
        <v>69738</v>
      </c>
      <c r="D57" s="20">
        <f t="shared" si="3"/>
        <v>54097</v>
      </c>
      <c r="E57" s="20">
        <f t="shared" si="3"/>
        <v>82165</v>
      </c>
      <c r="F57" s="20">
        <f t="shared" si="3"/>
        <v>149336</v>
      </c>
      <c r="G57" s="20">
        <f t="shared" si="3"/>
        <v>120616.32000000001</v>
      </c>
      <c r="H57" s="20">
        <f t="shared" si="3"/>
        <v>130265</v>
      </c>
      <c r="I57" s="20"/>
      <c r="J57" s="20">
        <f>SUM(J40:J53)</f>
        <v>228932.16099999999</v>
      </c>
      <c r="K57" s="20">
        <f>SUM(K40:K53)</f>
        <v>0</v>
      </c>
      <c r="L57" s="20">
        <f>SUM(L40:L53)</f>
        <v>228932.16099999999</v>
      </c>
    </row>
    <row r="58" spans="1:12" x14ac:dyDescent="0.25">
      <c r="C58" s="22"/>
      <c r="D58" s="22"/>
      <c r="E58" s="22"/>
      <c r="F58" s="22"/>
      <c r="G58" s="22"/>
      <c r="H58" s="21"/>
      <c r="I58" s="21"/>
      <c r="J58" s="21"/>
      <c r="K58" s="21"/>
      <c r="L58" s="22"/>
    </row>
    <row r="59" spans="1:12" x14ac:dyDescent="0.25">
      <c r="A59" t="s">
        <v>489</v>
      </c>
      <c r="C59" s="22"/>
      <c r="D59" s="22"/>
      <c r="E59" s="22"/>
      <c r="F59" s="22"/>
      <c r="G59" s="22"/>
      <c r="H59" s="21"/>
      <c r="I59" s="21"/>
      <c r="J59" s="21"/>
      <c r="K59" s="21"/>
      <c r="L59" s="22"/>
    </row>
    <row r="60" spans="1:12" x14ac:dyDescent="0.25">
      <c r="A60" t="s">
        <v>18</v>
      </c>
      <c r="C60" s="22"/>
      <c r="D60" s="22"/>
      <c r="E60" s="22"/>
      <c r="F60" s="22"/>
      <c r="G60" s="22"/>
      <c r="H60" s="21"/>
      <c r="I60" s="21"/>
      <c r="J60" s="21"/>
      <c r="K60" s="21"/>
      <c r="L60" s="22"/>
    </row>
    <row r="61" spans="1:12" x14ac:dyDescent="0.25">
      <c r="A61" t="s">
        <v>2482</v>
      </c>
      <c r="B61" s="7" t="s">
        <v>489</v>
      </c>
      <c r="C61" s="22">
        <v>7937</v>
      </c>
      <c r="D61" s="22">
        <v>1459</v>
      </c>
      <c r="E61" s="22">
        <v>1159</v>
      </c>
      <c r="F61" s="22">
        <v>3500</v>
      </c>
      <c r="G61" s="22">
        <v>1806.7</v>
      </c>
      <c r="H61" s="21">
        <v>2000</v>
      </c>
      <c r="I61" s="21"/>
      <c r="J61" s="21">
        <v>4000</v>
      </c>
      <c r="K61" s="21">
        <v>0</v>
      </c>
      <c r="L61" s="22">
        <f>SUM(J61+K61)</f>
        <v>4000</v>
      </c>
    </row>
    <row r="62" spans="1:12" x14ac:dyDescent="0.25">
      <c r="A62" t="s">
        <v>2483</v>
      </c>
      <c r="B62" s="7" t="s">
        <v>1252</v>
      </c>
      <c r="C62" s="22">
        <v>0</v>
      </c>
      <c r="D62" s="22">
        <v>85</v>
      </c>
      <c r="E62" s="22">
        <v>298</v>
      </c>
      <c r="F62" s="22">
        <v>300</v>
      </c>
      <c r="G62" s="22">
        <v>1018.7</v>
      </c>
      <c r="H62" s="21">
        <v>1500</v>
      </c>
      <c r="I62" s="21"/>
      <c r="J62" s="21">
        <v>1200</v>
      </c>
      <c r="K62" s="21">
        <v>0</v>
      </c>
      <c r="L62" s="22">
        <f t="shared" ref="L62:L67" si="4">SUM(J62+K62)</f>
        <v>1200</v>
      </c>
    </row>
    <row r="63" spans="1:12" x14ac:dyDescent="0.25">
      <c r="A63" t="s">
        <v>2484</v>
      </c>
      <c r="B63" s="7" t="s">
        <v>496</v>
      </c>
      <c r="C63" s="22">
        <v>8230</v>
      </c>
      <c r="D63" s="22">
        <v>7253</v>
      </c>
      <c r="E63" s="22">
        <v>5335</v>
      </c>
      <c r="F63" s="22">
        <v>7200</v>
      </c>
      <c r="G63" s="22">
        <v>2061.5</v>
      </c>
      <c r="H63" s="21">
        <v>3400</v>
      </c>
      <c r="I63" s="21"/>
      <c r="J63" s="21">
        <v>7500</v>
      </c>
      <c r="K63" s="21">
        <v>0</v>
      </c>
      <c r="L63" s="22">
        <f t="shared" si="4"/>
        <v>7500</v>
      </c>
    </row>
    <row r="64" spans="1:12" x14ac:dyDescent="0.25">
      <c r="A64" t="s">
        <v>2485</v>
      </c>
      <c r="B64" s="7" t="s">
        <v>1259</v>
      </c>
      <c r="C64" s="22">
        <v>7095</v>
      </c>
      <c r="D64" s="22">
        <v>1491</v>
      </c>
      <c r="E64" s="22">
        <v>3337</v>
      </c>
      <c r="F64" s="22">
        <v>6200</v>
      </c>
      <c r="G64" s="22">
        <v>800</v>
      </c>
      <c r="H64" s="21">
        <v>1500</v>
      </c>
      <c r="I64" s="21"/>
      <c r="J64" s="21">
        <v>2500</v>
      </c>
      <c r="K64" s="21">
        <v>0</v>
      </c>
      <c r="L64" s="22">
        <f t="shared" si="4"/>
        <v>2500</v>
      </c>
    </row>
    <row r="65" spans="1:12" x14ac:dyDescent="0.25">
      <c r="A65" t="s">
        <v>2486</v>
      </c>
      <c r="B65" s="7" t="s">
        <v>1878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1">
        <v>0</v>
      </c>
      <c r="I65" s="21"/>
      <c r="J65" s="21">
        <v>0</v>
      </c>
      <c r="K65" s="21">
        <v>0</v>
      </c>
      <c r="L65" s="22">
        <f t="shared" si="4"/>
        <v>0</v>
      </c>
    </row>
    <row r="66" spans="1:12" hidden="1" x14ac:dyDescent="0.25">
      <c r="A66" t="s">
        <v>2487</v>
      </c>
      <c r="B66" s="7" t="s">
        <v>498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1">
        <v>0</v>
      </c>
      <c r="I66" s="21"/>
      <c r="J66" s="21">
        <v>0</v>
      </c>
      <c r="K66" s="21">
        <v>0</v>
      </c>
      <c r="L66" s="22">
        <f t="shared" si="4"/>
        <v>0</v>
      </c>
    </row>
    <row r="67" spans="1:12" hidden="1" x14ac:dyDescent="0.25">
      <c r="A67" t="s">
        <v>2488</v>
      </c>
      <c r="B67" s="7" t="s">
        <v>500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1">
        <v>0</v>
      </c>
      <c r="I67" s="21"/>
      <c r="J67" s="21">
        <v>0</v>
      </c>
      <c r="K67" s="21">
        <v>0</v>
      </c>
      <c r="L67" s="22">
        <f t="shared" si="4"/>
        <v>0</v>
      </c>
    </row>
    <row r="68" spans="1:12" x14ac:dyDescent="0.25">
      <c r="C68" s="22"/>
      <c r="D68" s="22"/>
      <c r="E68" s="22"/>
      <c r="F68" s="22"/>
      <c r="G68" s="22"/>
      <c r="H68" s="21"/>
      <c r="I68" s="21"/>
      <c r="J68" s="21"/>
      <c r="K68" s="21"/>
      <c r="L68" s="22"/>
    </row>
    <row r="69" spans="1:12" x14ac:dyDescent="0.25">
      <c r="C69" s="22"/>
      <c r="D69" s="22"/>
      <c r="E69" s="22"/>
      <c r="F69" s="22"/>
      <c r="G69" s="22"/>
      <c r="H69" s="21"/>
      <c r="I69" s="21"/>
      <c r="J69" s="21"/>
      <c r="K69" s="21"/>
      <c r="L69" s="22"/>
    </row>
    <row r="70" spans="1:12" x14ac:dyDescent="0.25">
      <c r="A70" t="s">
        <v>109</v>
      </c>
      <c r="C70" s="22"/>
      <c r="D70" s="22"/>
      <c r="E70" s="22"/>
      <c r="F70" s="22"/>
      <c r="G70" s="22"/>
      <c r="H70" s="21"/>
      <c r="I70" s="21"/>
      <c r="J70" s="21"/>
      <c r="K70" s="21"/>
      <c r="L70" s="22"/>
    </row>
    <row r="71" spans="1:12" x14ac:dyDescent="0.25">
      <c r="B71" t="s">
        <v>489</v>
      </c>
      <c r="C71" s="20">
        <f t="shared" ref="C71:H71" si="5">SUM(C61:C67)</f>
        <v>23262</v>
      </c>
      <c r="D71" s="20">
        <f t="shared" si="5"/>
        <v>10288</v>
      </c>
      <c r="E71" s="20">
        <f t="shared" si="5"/>
        <v>10129</v>
      </c>
      <c r="F71" s="20">
        <f t="shared" si="5"/>
        <v>17200</v>
      </c>
      <c r="G71" s="20">
        <f t="shared" si="5"/>
        <v>5686.9</v>
      </c>
      <c r="H71" s="20">
        <f t="shared" si="5"/>
        <v>8400</v>
      </c>
      <c r="I71" s="20"/>
      <c r="J71" s="20">
        <f>SUM(J61:J67)</f>
        <v>15200</v>
      </c>
      <c r="K71" s="20">
        <f>SUM(K61:K67)</f>
        <v>0</v>
      </c>
      <c r="L71" s="20">
        <f>SUM(L61:L67)</f>
        <v>15200</v>
      </c>
    </row>
    <row r="72" spans="1:12" x14ac:dyDescent="0.25">
      <c r="C72" s="22"/>
      <c r="D72" s="22"/>
      <c r="E72" s="22"/>
      <c r="F72" s="22"/>
      <c r="G72" s="22"/>
      <c r="H72" s="21"/>
      <c r="I72" s="21"/>
      <c r="J72" s="21"/>
      <c r="K72" s="21"/>
      <c r="L72" s="22"/>
    </row>
    <row r="73" spans="1:12" x14ac:dyDescent="0.25">
      <c r="A73" t="s">
        <v>501</v>
      </c>
      <c r="C73" s="22"/>
      <c r="D73" s="22"/>
      <c r="E73" s="22"/>
      <c r="F73" s="22"/>
      <c r="G73" s="22"/>
      <c r="H73" s="21"/>
      <c r="I73" s="21"/>
      <c r="J73" s="21"/>
      <c r="K73" s="21"/>
      <c r="L73" s="22"/>
    </row>
    <row r="74" spans="1:12" x14ac:dyDescent="0.25">
      <c r="A74" t="s">
        <v>18</v>
      </c>
      <c r="C74" s="22"/>
      <c r="D74" s="22"/>
      <c r="E74" s="22"/>
      <c r="F74" s="22"/>
      <c r="G74" s="22"/>
      <c r="H74" s="21"/>
      <c r="I74" s="21"/>
      <c r="J74" s="21"/>
      <c r="K74" s="21"/>
      <c r="L74" s="22"/>
    </row>
    <row r="75" spans="1:12" x14ac:dyDescent="0.25">
      <c r="A75" t="s">
        <v>2489</v>
      </c>
      <c r="B75" s="7" t="s">
        <v>2261</v>
      </c>
      <c r="C75" s="22">
        <v>599</v>
      </c>
      <c r="D75" s="22">
        <v>0</v>
      </c>
      <c r="E75" s="22">
        <v>3059</v>
      </c>
      <c r="F75" s="22">
        <v>2000</v>
      </c>
      <c r="G75" s="22">
        <v>469.25</v>
      </c>
      <c r="H75" s="21">
        <v>1200</v>
      </c>
      <c r="I75" s="21"/>
      <c r="J75" s="21">
        <v>2500</v>
      </c>
      <c r="K75" s="21">
        <v>0</v>
      </c>
      <c r="L75" s="22">
        <f>SUM(J75+K75)</f>
        <v>2500</v>
      </c>
    </row>
    <row r="76" spans="1:12" x14ac:dyDescent="0.25">
      <c r="A76" t="s">
        <v>2490</v>
      </c>
      <c r="B76" s="7" t="s">
        <v>509</v>
      </c>
      <c r="C76" s="22">
        <v>2640</v>
      </c>
      <c r="D76" s="22">
        <v>1973</v>
      </c>
      <c r="E76" s="22">
        <v>3186</v>
      </c>
      <c r="F76" s="22">
        <v>5000</v>
      </c>
      <c r="G76" s="22">
        <v>0</v>
      </c>
      <c r="H76" s="21">
        <v>0</v>
      </c>
      <c r="I76" s="21"/>
      <c r="J76" s="21">
        <v>5000</v>
      </c>
      <c r="K76" s="21">
        <v>0</v>
      </c>
      <c r="L76" s="22">
        <f t="shared" ref="L76:L78" si="6">SUM(J76+K76)</f>
        <v>5000</v>
      </c>
    </row>
    <row r="77" spans="1:12" x14ac:dyDescent="0.25">
      <c r="A77" t="s">
        <v>2491</v>
      </c>
      <c r="B77" s="7" t="s">
        <v>1880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1">
        <v>0</v>
      </c>
      <c r="I77" s="21"/>
      <c r="J77" s="21">
        <v>0</v>
      </c>
      <c r="K77" s="21">
        <v>0</v>
      </c>
      <c r="L77" s="22">
        <f t="shared" si="6"/>
        <v>0</v>
      </c>
    </row>
    <row r="78" spans="1:12" x14ac:dyDescent="0.25">
      <c r="A78" t="s">
        <v>2492</v>
      </c>
      <c r="B78" s="7" t="s">
        <v>519</v>
      </c>
      <c r="C78" s="22">
        <v>0</v>
      </c>
      <c r="D78" s="22">
        <v>0</v>
      </c>
      <c r="E78" s="22">
        <v>276</v>
      </c>
      <c r="F78" s="22">
        <v>0</v>
      </c>
      <c r="G78" s="22">
        <v>300</v>
      </c>
      <c r="H78" s="21">
        <v>1000</v>
      </c>
      <c r="I78" s="21"/>
      <c r="J78" s="21">
        <v>5000</v>
      </c>
      <c r="K78" s="21">
        <v>0</v>
      </c>
      <c r="L78" s="22">
        <f t="shared" si="6"/>
        <v>5000</v>
      </c>
    </row>
    <row r="79" spans="1:12" x14ac:dyDescent="0.25">
      <c r="C79" s="22"/>
      <c r="D79" s="22"/>
      <c r="E79" s="22"/>
      <c r="F79" s="22"/>
      <c r="G79" s="22"/>
      <c r="H79" s="21"/>
      <c r="I79" s="21"/>
      <c r="J79" s="21"/>
      <c r="K79" s="21"/>
      <c r="L79" s="22"/>
    </row>
    <row r="80" spans="1:12" x14ac:dyDescent="0.25">
      <c r="C80" s="22"/>
      <c r="D80" s="22"/>
      <c r="E80" s="22"/>
      <c r="F80" s="22"/>
      <c r="G80" s="22"/>
      <c r="H80" s="21"/>
      <c r="I80" s="21"/>
      <c r="J80" s="21"/>
      <c r="K80" s="21"/>
      <c r="L80" s="22"/>
    </row>
    <row r="81" spans="1:12" x14ac:dyDescent="0.25">
      <c r="A81" t="s">
        <v>109</v>
      </c>
      <c r="C81" s="22"/>
      <c r="D81" s="22"/>
      <c r="E81" s="22"/>
      <c r="F81" s="22"/>
      <c r="G81" s="22"/>
      <c r="H81" s="21"/>
      <c r="I81" s="21"/>
      <c r="J81" s="21"/>
      <c r="K81" s="21"/>
      <c r="L81" s="22"/>
    </row>
    <row r="82" spans="1:12" x14ac:dyDescent="0.25">
      <c r="B82" t="s">
        <v>501</v>
      </c>
      <c r="C82" s="20">
        <f t="shared" ref="C82:H82" si="7">SUM(C75:C78)</f>
        <v>3239</v>
      </c>
      <c r="D82" s="20">
        <f t="shared" si="7"/>
        <v>1973</v>
      </c>
      <c r="E82" s="20">
        <f t="shared" si="7"/>
        <v>6521</v>
      </c>
      <c r="F82" s="20">
        <f t="shared" si="7"/>
        <v>7000</v>
      </c>
      <c r="G82" s="20">
        <f t="shared" si="7"/>
        <v>769.25</v>
      </c>
      <c r="H82" s="20">
        <f t="shared" si="7"/>
        <v>2200</v>
      </c>
      <c r="I82" s="20"/>
      <c r="J82" s="20">
        <f>SUM(J75:J78)</f>
        <v>12500</v>
      </c>
      <c r="K82" s="20">
        <f>SUM(K75:K78)</f>
        <v>0</v>
      </c>
      <c r="L82" s="20">
        <f>SUM(L75:L78)</f>
        <v>12500</v>
      </c>
    </row>
    <row r="83" spans="1:12" x14ac:dyDescent="0.25">
      <c r="C83" s="22"/>
      <c r="D83" s="22"/>
      <c r="E83" s="22"/>
      <c r="F83" s="22"/>
      <c r="G83" s="22"/>
      <c r="H83" s="21"/>
      <c r="I83" s="21"/>
      <c r="J83" s="21"/>
      <c r="K83" s="21"/>
      <c r="L83" s="22"/>
    </row>
    <row r="84" spans="1:12" x14ac:dyDescent="0.25">
      <c r="A84" t="s">
        <v>530</v>
      </c>
      <c r="C84" s="22"/>
      <c r="D84" s="22"/>
      <c r="E84" s="22"/>
      <c r="F84" s="22"/>
      <c r="G84" s="22"/>
      <c r="H84" s="21"/>
      <c r="I84" s="21"/>
      <c r="J84" s="21"/>
      <c r="K84" s="21"/>
      <c r="L84" s="22"/>
    </row>
    <row r="85" spans="1:12" x14ac:dyDescent="0.25">
      <c r="A85" t="s">
        <v>18</v>
      </c>
      <c r="B85" s="7" t="s">
        <v>526</v>
      </c>
      <c r="C85" s="22"/>
      <c r="D85" s="22"/>
      <c r="E85" s="22"/>
      <c r="F85" s="22"/>
      <c r="G85" s="22"/>
      <c r="H85" s="21"/>
      <c r="I85" s="21"/>
      <c r="J85" s="21"/>
      <c r="K85" s="21"/>
      <c r="L85" s="22"/>
    </row>
    <row r="86" spans="1:12" x14ac:dyDescent="0.25">
      <c r="A86" t="s">
        <v>2493</v>
      </c>
      <c r="B86" s="7" t="s">
        <v>1282</v>
      </c>
      <c r="C86" s="22">
        <v>0</v>
      </c>
      <c r="D86" s="22">
        <v>0</v>
      </c>
      <c r="E86" s="22">
        <v>0</v>
      </c>
      <c r="F86" s="22">
        <v>51000</v>
      </c>
      <c r="G86" s="22">
        <v>49806.38</v>
      </c>
      <c r="H86" s="21">
        <v>49806</v>
      </c>
      <c r="I86" s="21"/>
      <c r="J86" s="21">
        <v>0</v>
      </c>
      <c r="K86" s="21">
        <v>0</v>
      </c>
      <c r="L86" s="22">
        <f>SUM(J86+K86)</f>
        <v>0</v>
      </c>
    </row>
    <row r="87" spans="1:12" x14ac:dyDescent="0.25">
      <c r="A87" t="s">
        <v>2494</v>
      </c>
      <c r="B87" s="7" t="s">
        <v>2495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1">
        <v>0</v>
      </c>
      <c r="I87" s="21"/>
      <c r="J87" s="21">
        <v>0</v>
      </c>
      <c r="K87" s="21">
        <v>0</v>
      </c>
      <c r="L87" s="22">
        <f t="shared" ref="L87:L89" si="8">SUM(J87+K87)</f>
        <v>0</v>
      </c>
    </row>
    <row r="88" spans="1:12" x14ac:dyDescent="0.25">
      <c r="A88" t="s">
        <v>2496</v>
      </c>
      <c r="B88" s="7" t="s">
        <v>534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1">
        <v>0</v>
      </c>
      <c r="I88" s="21"/>
      <c r="J88" s="21">
        <v>0</v>
      </c>
      <c r="K88" s="21">
        <v>0</v>
      </c>
      <c r="L88" s="22">
        <f t="shared" si="8"/>
        <v>0</v>
      </c>
    </row>
    <row r="89" spans="1:12" x14ac:dyDescent="0.25">
      <c r="A89" t="s">
        <v>2497</v>
      </c>
      <c r="B89" s="7" t="s">
        <v>2498</v>
      </c>
      <c r="C89" s="22">
        <v>0</v>
      </c>
      <c r="D89" s="22">
        <v>0</v>
      </c>
      <c r="E89" s="22">
        <v>269861</v>
      </c>
      <c r="F89" s="22">
        <v>3475000</v>
      </c>
      <c r="G89" s="22">
        <v>4416526</v>
      </c>
      <c r="H89" s="21">
        <v>4416526</v>
      </c>
      <c r="I89" s="21"/>
      <c r="J89" s="21">
        <v>4135000</v>
      </c>
      <c r="K89" s="21">
        <v>0</v>
      </c>
      <c r="L89" s="22">
        <f t="shared" si="8"/>
        <v>4135000</v>
      </c>
    </row>
    <row r="90" spans="1:12" x14ac:dyDescent="0.25">
      <c r="C90" s="22"/>
      <c r="D90" s="22"/>
      <c r="E90" s="22"/>
      <c r="F90" s="22"/>
      <c r="G90" s="22"/>
      <c r="H90" s="21"/>
      <c r="I90" s="21"/>
      <c r="J90" s="21"/>
      <c r="K90" s="21"/>
      <c r="L90" s="22"/>
    </row>
    <row r="91" spans="1:12" x14ac:dyDescent="0.25">
      <c r="C91" s="22"/>
      <c r="D91" s="22"/>
      <c r="E91" s="22"/>
      <c r="F91" s="22"/>
      <c r="G91" s="22"/>
      <c r="H91" s="21"/>
      <c r="I91" s="21"/>
      <c r="J91" s="21"/>
      <c r="K91" s="21"/>
      <c r="L91" s="22"/>
    </row>
    <row r="92" spans="1:12" x14ac:dyDescent="0.25">
      <c r="A92" t="s">
        <v>109</v>
      </c>
      <c r="C92" s="22"/>
      <c r="D92" s="22"/>
      <c r="E92" s="22"/>
      <c r="F92" s="22"/>
      <c r="G92" s="22"/>
      <c r="H92" s="21"/>
      <c r="I92" s="21"/>
      <c r="J92" s="21"/>
      <c r="K92" s="21"/>
      <c r="L92" s="22"/>
    </row>
    <row r="93" spans="1:12" x14ac:dyDescent="0.25">
      <c r="B93" t="s">
        <v>530</v>
      </c>
      <c r="C93" s="20">
        <f t="shared" ref="C93:H93" si="9">SUM(C86:C89)</f>
        <v>0</v>
      </c>
      <c r="D93" s="20">
        <f t="shared" si="9"/>
        <v>0</v>
      </c>
      <c r="E93" s="20">
        <f t="shared" si="9"/>
        <v>269861</v>
      </c>
      <c r="F93" s="20">
        <f t="shared" si="9"/>
        <v>3526000</v>
      </c>
      <c r="G93" s="20">
        <f t="shared" si="9"/>
        <v>4466332.38</v>
      </c>
      <c r="H93" s="20">
        <f t="shared" si="9"/>
        <v>4466332</v>
      </c>
      <c r="I93" s="20"/>
      <c r="J93" s="20">
        <f>SUM(J86:J89)</f>
        <v>4135000</v>
      </c>
      <c r="K93" s="20">
        <f>SUM(K86:K89)</f>
        <v>0</v>
      </c>
      <c r="L93" s="20">
        <f>SUM(L86:L89)</f>
        <v>4135000</v>
      </c>
    </row>
    <row r="94" spans="1:12" x14ac:dyDescent="0.25">
      <c r="C94" s="22"/>
      <c r="D94" s="22"/>
      <c r="E94" s="22"/>
      <c r="F94" s="22"/>
      <c r="G94" s="22"/>
      <c r="H94" s="21"/>
      <c r="I94" s="21"/>
      <c r="J94" s="21"/>
      <c r="K94" s="21"/>
      <c r="L94" s="22"/>
    </row>
    <row r="95" spans="1:12" x14ac:dyDescent="0.25">
      <c r="C95" s="22"/>
      <c r="D95" s="22"/>
      <c r="E95" s="22"/>
      <c r="F95" s="22"/>
      <c r="G95" s="22"/>
      <c r="H95" s="21"/>
      <c r="I95" s="21"/>
      <c r="J95" s="21"/>
      <c r="K95" s="21"/>
      <c r="L95" s="22"/>
    </row>
    <row r="96" spans="1:12" x14ac:dyDescent="0.25">
      <c r="A96" t="s">
        <v>109</v>
      </c>
      <c r="C96" s="22"/>
      <c r="D96" s="22"/>
      <c r="E96" s="22"/>
      <c r="F96" s="22"/>
      <c r="G96" s="22"/>
      <c r="H96" s="21"/>
      <c r="I96" s="21"/>
      <c r="J96" s="21"/>
      <c r="K96" s="21"/>
      <c r="L96" s="22"/>
    </row>
    <row r="97" spans="1:12" x14ac:dyDescent="0.25">
      <c r="A97">
        <v>77</v>
      </c>
      <c r="B97" t="s">
        <v>3763</v>
      </c>
      <c r="C97" s="20">
        <f t="shared" ref="C97:H97" si="10">C36+C57+C71+C82+C93</f>
        <v>279844</v>
      </c>
      <c r="D97" s="20">
        <f t="shared" si="10"/>
        <v>253946</v>
      </c>
      <c r="E97" s="20">
        <f t="shared" si="10"/>
        <v>522873</v>
      </c>
      <c r="F97" s="20">
        <f t="shared" si="10"/>
        <v>3926995</v>
      </c>
      <c r="G97" s="20">
        <f t="shared" si="10"/>
        <v>4687178.68</v>
      </c>
      <c r="H97" s="20">
        <f t="shared" si="10"/>
        <v>4715753</v>
      </c>
      <c r="I97" s="20"/>
      <c r="J97" s="20">
        <f>J36+J57+J71+J82+J93</f>
        <v>4530632.5470000003</v>
      </c>
      <c r="K97" s="20">
        <f>K36+K57+K71+K82+K93</f>
        <v>0</v>
      </c>
      <c r="L97" s="20">
        <f>L36+L57+L71+L82+L93</f>
        <v>4530632.5470000003</v>
      </c>
    </row>
    <row r="98" spans="1:12" x14ac:dyDescent="0.25">
      <c r="C98" s="22"/>
      <c r="D98" s="22"/>
      <c r="E98" s="22"/>
      <c r="F98" s="22"/>
      <c r="G98" s="22"/>
      <c r="H98" s="21"/>
      <c r="I98" s="21"/>
      <c r="J98" s="21"/>
      <c r="K98" s="21"/>
      <c r="L98" s="22"/>
    </row>
  </sheetData>
  <sheetProtection algorithmName="SHA-512" hashValue="GMxASUDsqqr3fABTMqdITlx0kZIrZ0iDey0HnDTRhtZS91wfxu3nLk42fAYZEY3DCPQb7zjBjcgge3mdsjcbMA==" saltValue="q2uV3JpQC8T7yJiv/oBgVQ==" spinCount="100000" sheet="1" insertRows="0"/>
  <pageMargins left="0.25" right="0.25" top="0.75" bottom="0.75" header="0.3" footer="0.3"/>
  <pageSetup scale="76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E0A37-0CA9-4B26-8A45-772EC8B0825C}">
  <sheetPr>
    <pageSetUpPr fitToPage="1"/>
  </sheetPr>
  <dimension ref="A1:L92"/>
  <sheetViews>
    <sheetView zoomScaleNormal="100" workbookViewId="0">
      <selection activeCell="J84" sqref="J84"/>
    </sheetView>
  </sheetViews>
  <sheetFormatPr defaultRowHeight="15" x14ac:dyDescent="0.25"/>
  <cols>
    <col min="2" max="2" width="32.5703125" style="7" bestFit="1" customWidth="1"/>
    <col min="3" max="3" width="13.140625" style="12" bestFit="1" customWidth="1"/>
    <col min="4" max="4" width="14.85546875" style="12" bestFit="1" customWidth="1"/>
    <col min="5" max="5" width="13.85546875" style="12" bestFit="1" customWidth="1"/>
    <col min="6" max="6" width="14" style="12" bestFit="1" customWidth="1"/>
    <col min="7" max="7" width="12.7109375" style="12" bestFit="1" customWidth="1"/>
    <col min="8" max="8" width="13.140625" style="11" bestFit="1" customWidth="1"/>
    <col min="9" max="9" width="10.7109375" style="11" customWidth="1"/>
    <col min="10" max="10" width="13.140625" style="11" bestFit="1" customWidth="1"/>
    <col min="11" max="11" width="14.5703125" style="11" bestFit="1" customWidth="1"/>
    <col min="12" max="12" width="14" style="12" bestFit="1" customWidth="1"/>
  </cols>
  <sheetData>
    <row r="1" spans="1:12" x14ac:dyDescent="0.25">
      <c r="A1" t="s">
        <v>3726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3764</v>
      </c>
    </row>
    <row r="11" spans="1:12" x14ac:dyDescent="0.25">
      <c r="A11" t="s">
        <v>441</v>
      </c>
    </row>
    <row r="12" spans="1:12" x14ac:dyDescent="0.25">
      <c r="A12" t="s">
        <v>18</v>
      </c>
      <c r="B12" s="7" t="s">
        <v>228</v>
      </c>
      <c r="C12" s="22"/>
      <c r="D12" s="22"/>
      <c r="E12" s="22"/>
      <c r="F12" s="22"/>
      <c r="G12" s="22"/>
      <c r="H12" s="21"/>
      <c r="I12" s="21"/>
      <c r="J12" s="21"/>
      <c r="K12" s="21"/>
      <c r="L12" s="22"/>
    </row>
    <row r="13" spans="1:12" x14ac:dyDescent="0.25">
      <c r="A13" t="s">
        <v>2510</v>
      </c>
      <c r="B13" s="7" t="s">
        <v>569</v>
      </c>
      <c r="C13" s="22">
        <v>-37</v>
      </c>
      <c r="D13" s="22">
        <v>603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2511</v>
      </c>
      <c r="B14" s="7" t="s">
        <v>396</v>
      </c>
      <c r="C14" s="22">
        <v>9</v>
      </c>
      <c r="D14" s="22">
        <v>9</v>
      </c>
      <c r="E14" s="22">
        <v>117</v>
      </c>
      <c r="F14" s="22">
        <v>252</v>
      </c>
      <c r="G14" s="22">
        <v>63</v>
      </c>
      <c r="H14" s="21">
        <v>63</v>
      </c>
      <c r="I14" s="21"/>
      <c r="J14" s="21">
        <v>32</v>
      </c>
      <c r="K14" s="21">
        <v>0</v>
      </c>
      <c r="L14" s="22">
        <f t="shared" ref="L14:L30" si="0">SUM(J14+K14)</f>
        <v>32</v>
      </c>
    </row>
    <row r="15" spans="1:12" x14ac:dyDescent="0.25">
      <c r="A15" t="s">
        <v>2512</v>
      </c>
      <c r="B15" s="7" t="s">
        <v>398</v>
      </c>
      <c r="C15" s="22">
        <v>1615</v>
      </c>
      <c r="D15" s="22">
        <v>1364</v>
      </c>
      <c r="E15" s="22">
        <v>1665</v>
      </c>
      <c r="F15" s="22">
        <v>3255</v>
      </c>
      <c r="G15" s="22">
        <v>2223.75</v>
      </c>
      <c r="H15" s="21">
        <v>3250</v>
      </c>
      <c r="I15" s="21"/>
      <c r="J15" s="21">
        <v>1614.89</v>
      </c>
      <c r="K15" s="21">
        <v>0</v>
      </c>
      <c r="L15" s="22">
        <f t="shared" si="0"/>
        <v>1614.89</v>
      </c>
    </row>
    <row r="16" spans="1:12" x14ac:dyDescent="0.25">
      <c r="A16" t="s">
        <v>2513</v>
      </c>
      <c r="B16" s="7" t="s">
        <v>400</v>
      </c>
      <c r="C16" s="22">
        <v>1723</v>
      </c>
      <c r="D16" s="22">
        <v>1474</v>
      </c>
      <c r="E16" s="22">
        <v>2024</v>
      </c>
      <c r="F16" s="22">
        <v>4038</v>
      </c>
      <c r="G16" s="22">
        <v>1812.46</v>
      </c>
      <c r="H16" s="21">
        <v>2500</v>
      </c>
      <c r="I16" s="21"/>
      <c r="J16" s="21">
        <f>484.91+1432</f>
        <v>1916.91</v>
      </c>
      <c r="K16" s="21">
        <v>0</v>
      </c>
      <c r="L16" s="22">
        <f t="shared" si="0"/>
        <v>1916.91</v>
      </c>
    </row>
    <row r="17" spans="1:12" x14ac:dyDescent="0.25">
      <c r="A17" t="s">
        <v>2514</v>
      </c>
      <c r="B17" s="7" t="s">
        <v>402</v>
      </c>
      <c r="C17" s="22">
        <v>5243</v>
      </c>
      <c r="D17" s="22">
        <v>5444</v>
      </c>
      <c r="E17" s="22">
        <v>8736</v>
      </c>
      <c r="F17" s="22">
        <v>10662</v>
      </c>
      <c r="G17" s="22">
        <v>6802.61</v>
      </c>
      <c r="H17" s="21">
        <v>7500</v>
      </c>
      <c r="I17" s="21"/>
      <c r="J17" s="21">
        <v>4837.68</v>
      </c>
      <c r="K17" s="21">
        <v>0</v>
      </c>
      <c r="L17" s="22">
        <f t="shared" si="0"/>
        <v>4837.68</v>
      </c>
    </row>
    <row r="18" spans="1:12" x14ac:dyDescent="0.25">
      <c r="A18" t="s">
        <v>2515</v>
      </c>
      <c r="B18" s="7" t="s">
        <v>404</v>
      </c>
      <c r="C18" s="22">
        <v>357</v>
      </c>
      <c r="D18" s="22">
        <v>331</v>
      </c>
      <c r="E18" s="22">
        <v>330</v>
      </c>
      <c r="F18" s="22">
        <v>654</v>
      </c>
      <c r="G18" s="22">
        <v>259.89</v>
      </c>
      <c r="H18" s="21">
        <v>300</v>
      </c>
      <c r="I18" s="21"/>
      <c r="J18" s="21">
        <v>360</v>
      </c>
      <c r="K18" s="21">
        <v>0</v>
      </c>
      <c r="L18" s="22">
        <f t="shared" si="0"/>
        <v>360</v>
      </c>
    </row>
    <row r="19" spans="1:12" x14ac:dyDescent="0.25">
      <c r="A19" t="s">
        <v>2516</v>
      </c>
      <c r="B19" s="7" t="s">
        <v>406</v>
      </c>
      <c r="C19" s="22">
        <v>221</v>
      </c>
      <c r="D19" s="22">
        <v>349</v>
      </c>
      <c r="E19" s="22">
        <v>614</v>
      </c>
      <c r="F19" s="22">
        <v>676</v>
      </c>
      <c r="G19" s="22">
        <v>1338.07</v>
      </c>
      <c r="H19" s="21">
        <v>1338</v>
      </c>
      <c r="I19" s="21"/>
      <c r="J19" s="21">
        <f>G19*10%+G19</f>
        <v>1471.877</v>
      </c>
      <c r="K19" s="21">
        <v>0</v>
      </c>
      <c r="L19" s="22">
        <f t="shared" si="0"/>
        <v>1471.877</v>
      </c>
    </row>
    <row r="20" spans="1:12" x14ac:dyDescent="0.25">
      <c r="A20" t="s">
        <v>2517</v>
      </c>
      <c r="B20" s="7" t="s">
        <v>690</v>
      </c>
      <c r="C20" s="22">
        <v>69</v>
      </c>
      <c r="D20" s="22">
        <v>52</v>
      </c>
      <c r="E20" s="22">
        <v>121</v>
      </c>
      <c r="F20" s="22">
        <v>207</v>
      </c>
      <c r="G20" s="22">
        <v>138.4</v>
      </c>
      <c r="H20" s="21">
        <v>138</v>
      </c>
      <c r="I20" s="21"/>
      <c r="J20" s="21">
        <v>17.3</v>
      </c>
      <c r="K20" s="21">
        <v>0</v>
      </c>
      <c r="L20" s="22">
        <f t="shared" si="0"/>
        <v>17.3</v>
      </c>
    </row>
    <row r="21" spans="1:12" x14ac:dyDescent="0.25">
      <c r="A21" t="s">
        <v>2518</v>
      </c>
      <c r="B21" s="7" t="s">
        <v>426</v>
      </c>
      <c r="C21" s="22">
        <v>202</v>
      </c>
      <c r="D21" s="22">
        <v>202</v>
      </c>
      <c r="E21" s="22">
        <v>202</v>
      </c>
      <c r="F21" s="22">
        <v>405</v>
      </c>
      <c r="G21" s="22">
        <v>207.61</v>
      </c>
      <c r="H21" s="21">
        <v>208</v>
      </c>
      <c r="I21" s="21"/>
      <c r="J21" s="21">
        <v>202.45</v>
      </c>
      <c r="K21" s="21">
        <v>0</v>
      </c>
      <c r="L21" s="22">
        <f t="shared" si="0"/>
        <v>202.45</v>
      </c>
    </row>
    <row r="22" spans="1:12" x14ac:dyDescent="0.25">
      <c r="A22" t="s">
        <v>2519</v>
      </c>
      <c r="B22" s="7" t="s">
        <v>1204</v>
      </c>
      <c r="C22" s="22">
        <v>90</v>
      </c>
      <c r="D22" s="22">
        <v>180</v>
      </c>
      <c r="E22" s="22">
        <v>90</v>
      </c>
      <c r="F22" s="22">
        <v>180</v>
      </c>
      <c r="G22" s="22">
        <v>179.95</v>
      </c>
      <c r="H22" s="21">
        <v>180</v>
      </c>
      <c r="I22" s="21"/>
      <c r="J22" s="21">
        <v>89.98</v>
      </c>
      <c r="K22" s="21">
        <v>0</v>
      </c>
      <c r="L22" s="22">
        <f t="shared" si="0"/>
        <v>89.98</v>
      </c>
    </row>
    <row r="23" spans="1:12" x14ac:dyDescent="0.25">
      <c r="A23" t="s">
        <v>2520</v>
      </c>
      <c r="B23" s="7" t="s">
        <v>428</v>
      </c>
      <c r="C23" s="22">
        <v>415</v>
      </c>
      <c r="D23" s="22">
        <v>369</v>
      </c>
      <c r="E23" s="22">
        <v>0</v>
      </c>
      <c r="F23" s="22">
        <v>450</v>
      </c>
      <c r="G23" s="22">
        <v>138.47999999999999</v>
      </c>
      <c r="H23" s="21">
        <v>138</v>
      </c>
      <c r="I23" s="21"/>
      <c r="J23" s="21">
        <v>0</v>
      </c>
      <c r="K23" s="21">
        <v>0</v>
      </c>
      <c r="L23" s="22">
        <f t="shared" si="0"/>
        <v>0</v>
      </c>
    </row>
    <row r="24" spans="1:12" x14ac:dyDescent="0.25">
      <c r="A24" t="s">
        <v>2521</v>
      </c>
      <c r="B24" s="7" t="s">
        <v>430</v>
      </c>
      <c r="C24" s="22">
        <v>17</v>
      </c>
      <c r="D24" s="22">
        <v>17</v>
      </c>
      <c r="E24" s="22">
        <v>17</v>
      </c>
      <c r="F24" s="22">
        <v>69</v>
      </c>
      <c r="G24" s="22">
        <v>17.3</v>
      </c>
      <c r="H24" s="21">
        <v>17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2522</v>
      </c>
      <c r="B25" s="7" t="s">
        <v>432</v>
      </c>
      <c r="C25" s="22">
        <v>1160</v>
      </c>
      <c r="D25" s="22">
        <v>1573</v>
      </c>
      <c r="E25" s="22">
        <v>2351</v>
      </c>
      <c r="F25" s="22">
        <v>4000</v>
      </c>
      <c r="G25" s="22">
        <v>5066.7</v>
      </c>
      <c r="H25" s="21">
        <v>5300</v>
      </c>
      <c r="I25" s="21"/>
      <c r="J25" s="21">
        <v>700</v>
      </c>
      <c r="K25" s="21">
        <v>0</v>
      </c>
      <c r="L25" s="22">
        <f t="shared" si="0"/>
        <v>700</v>
      </c>
    </row>
    <row r="26" spans="1:12" x14ac:dyDescent="0.25">
      <c r="A26" t="s">
        <v>2523</v>
      </c>
      <c r="B26" s="7" t="s">
        <v>434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1">
        <v>0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2524</v>
      </c>
      <c r="B27" s="7" t="s">
        <v>436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2525</v>
      </c>
      <c r="B28" s="7" t="s">
        <v>607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2526</v>
      </c>
      <c r="B29" s="7" t="s">
        <v>2527</v>
      </c>
      <c r="C29" s="22">
        <v>18908</v>
      </c>
      <c r="D29" s="22">
        <v>15357</v>
      </c>
      <c r="E29" s="22">
        <v>19741</v>
      </c>
      <c r="F29" s="22">
        <v>41496</v>
      </c>
      <c r="G29" s="22">
        <v>24011.63</v>
      </c>
      <c r="H29" s="21">
        <v>29200</v>
      </c>
      <c r="I29" s="21"/>
      <c r="J29" s="21">
        <v>20800</v>
      </c>
      <c r="K29" s="21">
        <v>0</v>
      </c>
      <c r="L29" s="22">
        <f t="shared" si="0"/>
        <v>20800</v>
      </c>
    </row>
    <row r="30" spans="1:12" x14ac:dyDescent="0.25">
      <c r="A30" t="s">
        <v>2528</v>
      </c>
      <c r="B30" s="7" t="s">
        <v>1221</v>
      </c>
      <c r="C30" s="22">
        <v>225</v>
      </c>
      <c r="D30" s="22">
        <v>113</v>
      </c>
      <c r="E30" s="22">
        <v>338</v>
      </c>
      <c r="F30" s="22">
        <v>0</v>
      </c>
      <c r="G30" s="22">
        <v>412.5</v>
      </c>
      <c r="H30" s="21">
        <v>500</v>
      </c>
      <c r="I30" s="21"/>
      <c r="J30" s="21">
        <v>487.5</v>
      </c>
      <c r="K30" s="21">
        <v>0</v>
      </c>
      <c r="L30" s="22">
        <f t="shared" si="0"/>
        <v>487.5</v>
      </c>
    </row>
    <row r="31" spans="1:12" x14ac:dyDescent="0.25">
      <c r="C31" s="22"/>
      <c r="D31" s="22"/>
      <c r="E31" s="22"/>
      <c r="F31" s="22"/>
      <c r="G31" s="22"/>
      <c r="H31" s="21"/>
      <c r="I31" s="21"/>
      <c r="J31" s="21"/>
      <c r="K31" s="21"/>
      <c r="L31" s="22"/>
    </row>
    <row r="32" spans="1:12" x14ac:dyDescent="0.25">
      <c r="C32" s="22"/>
      <c r="D32" s="22"/>
      <c r="E32" s="22"/>
      <c r="F32" s="22"/>
      <c r="G32" s="22"/>
      <c r="H32" s="21"/>
      <c r="I32" s="21"/>
      <c r="J32" s="21"/>
      <c r="K32" s="21"/>
      <c r="L32" s="22"/>
    </row>
    <row r="33" spans="1:12" x14ac:dyDescent="0.25">
      <c r="A33" t="s">
        <v>109</v>
      </c>
      <c r="C33" s="22"/>
      <c r="D33" s="22"/>
      <c r="E33" s="22"/>
      <c r="F33" s="22"/>
      <c r="G33" s="22"/>
      <c r="H33" s="21"/>
      <c r="I33" s="21"/>
      <c r="J33" s="21"/>
      <c r="K33" s="21"/>
      <c r="L33" s="22"/>
    </row>
    <row r="34" spans="1:12" x14ac:dyDescent="0.25">
      <c r="B34" t="s">
        <v>441</v>
      </c>
      <c r="C34" s="20">
        <f t="shared" ref="C34:H34" si="1">SUM(C13:C30)</f>
        <v>30217</v>
      </c>
      <c r="D34" s="20">
        <f t="shared" si="1"/>
        <v>27437</v>
      </c>
      <c r="E34" s="20">
        <f t="shared" si="1"/>
        <v>36346</v>
      </c>
      <c r="F34" s="20">
        <f t="shared" si="1"/>
        <v>66344</v>
      </c>
      <c r="G34" s="20">
        <f t="shared" si="1"/>
        <v>42672.35</v>
      </c>
      <c r="H34" s="20">
        <f t="shared" si="1"/>
        <v>50632</v>
      </c>
      <c r="I34" s="20"/>
      <c r="J34" s="20">
        <f>SUM(J13:J30)</f>
        <v>32530.587</v>
      </c>
      <c r="K34" s="20">
        <f>SUM(K13:K30)</f>
        <v>0</v>
      </c>
      <c r="L34" s="20">
        <f>SUM(L13:L30)</f>
        <v>32530.587</v>
      </c>
    </row>
    <row r="35" spans="1:12" x14ac:dyDescent="0.25">
      <c r="C35" s="22"/>
      <c r="D35" s="22"/>
      <c r="E35" s="22"/>
      <c r="F35" s="22"/>
      <c r="G35" s="22"/>
      <c r="H35" s="21"/>
      <c r="I35" s="21"/>
      <c r="J35" s="21"/>
      <c r="K35" s="21"/>
      <c r="L35" s="22"/>
    </row>
    <row r="36" spans="1:12" x14ac:dyDescent="0.25">
      <c r="A36" t="s">
        <v>478</v>
      </c>
      <c r="C36" s="22"/>
      <c r="D36" s="22"/>
      <c r="E36" s="22"/>
      <c r="F36" s="22"/>
      <c r="G36" s="22"/>
      <c r="H36" s="21"/>
      <c r="I36" s="21"/>
      <c r="J36" s="21"/>
      <c r="K36" s="21"/>
      <c r="L36" s="22"/>
    </row>
    <row r="37" spans="1:12" x14ac:dyDescent="0.25">
      <c r="A37" t="s">
        <v>18</v>
      </c>
      <c r="B37" s="7" t="s">
        <v>21</v>
      </c>
      <c r="C37" s="22"/>
      <c r="D37" s="22"/>
      <c r="E37" s="22"/>
      <c r="F37" s="22"/>
      <c r="G37" s="22"/>
      <c r="H37" s="21"/>
      <c r="I37" s="21"/>
      <c r="J37" s="21"/>
      <c r="K37" s="21"/>
      <c r="L37" s="22"/>
    </row>
    <row r="38" spans="1:12" x14ac:dyDescent="0.25">
      <c r="A38" t="s">
        <v>2529</v>
      </c>
      <c r="B38" s="7" t="s">
        <v>445</v>
      </c>
      <c r="C38" s="22">
        <v>6591</v>
      </c>
      <c r="D38" s="22">
        <v>5152</v>
      </c>
      <c r="E38" s="22">
        <v>923</v>
      </c>
      <c r="F38" s="22">
        <v>1016</v>
      </c>
      <c r="G38" s="22">
        <v>995.75</v>
      </c>
      <c r="H38" s="21">
        <v>996</v>
      </c>
      <c r="I38" s="21"/>
      <c r="J38" s="21">
        <f>G38*10%+G38</f>
        <v>1095.325</v>
      </c>
      <c r="K38" s="21">
        <v>0</v>
      </c>
      <c r="L38" s="22">
        <f>SUM(J38+K38)</f>
        <v>1095.325</v>
      </c>
    </row>
    <row r="39" spans="1:12" x14ac:dyDescent="0.25">
      <c r="A39" t="s">
        <v>2530</v>
      </c>
      <c r="B39" s="7" t="s">
        <v>447</v>
      </c>
      <c r="C39" s="22">
        <v>66</v>
      </c>
      <c r="D39" s="22">
        <v>393</v>
      </c>
      <c r="E39" s="22">
        <v>55</v>
      </c>
      <c r="F39" s="22">
        <v>500</v>
      </c>
      <c r="G39" s="22">
        <v>0</v>
      </c>
      <c r="H39" s="21">
        <v>0</v>
      </c>
      <c r="I39" s="21"/>
      <c r="J39" s="21">
        <v>500</v>
      </c>
      <c r="K39" s="21">
        <v>0</v>
      </c>
      <c r="L39" s="22">
        <f t="shared" ref="L39:L50" si="2">SUM(J39+K39)</f>
        <v>500</v>
      </c>
    </row>
    <row r="40" spans="1:12" x14ac:dyDescent="0.25">
      <c r="A40" t="s">
        <v>2531</v>
      </c>
      <c r="B40" s="7" t="s">
        <v>449</v>
      </c>
      <c r="C40" s="22">
        <v>0</v>
      </c>
      <c r="D40" s="22">
        <v>0</v>
      </c>
      <c r="E40" s="22">
        <v>0</v>
      </c>
      <c r="F40" s="22">
        <v>100</v>
      </c>
      <c r="G40" s="22">
        <v>0</v>
      </c>
      <c r="H40" s="21">
        <v>0</v>
      </c>
      <c r="I40" s="21"/>
      <c r="J40" s="21">
        <v>500</v>
      </c>
      <c r="K40" s="21">
        <v>0</v>
      </c>
      <c r="L40" s="22">
        <f t="shared" si="2"/>
        <v>500</v>
      </c>
    </row>
    <row r="41" spans="1:12" x14ac:dyDescent="0.25">
      <c r="A41" t="s">
        <v>2532</v>
      </c>
      <c r="B41" s="7" t="s">
        <v>451</v>
      </c>
      <c r="C41" s="22">
        <v>520</v>
      </c>
      <c r="D41" s="22">
        <v>0</v>
      </c>
      <c r="E41" s="22">
        <v>50</v>
      </c>
      <c r="F41" s="22">
        <v>500</v>
      </c>
      <c r="G41" s="22">
        <v>0</v>
      </c>
      <c r="H41" s="21">
        <v>0</v>
      </c>
      <c r="I41" s="21"/>
      <c r="J41" s="21">
        <v>500</v>
      </c>
      <c r="K41" s="21">
        <v>0</v>
      </c>
      <c r="L41" s="22">
        <f t="shared" si="2"/>
        <v>500</v>
      </c>
    </row>
    <row r="42" spans="1:12" x14ac:dyDescent="0.25">
      <c r="A42" t="s">
        <v>2533</v>
      </c>
      <c r="B42" s="7" t="s">
        <v>465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1">
        <v>0</v>
      </c>
      <c r="I42" s="21"/>
      <c r="J42" s="21">
        <v>0</v>
      </c>
      <c r="K42" s="21">
        <v>0</v>
      </c>
      <c r="L42" s="22">
        <f t="shared" si="2"/>
        <v>0</v>
      </c>
    </row>
    <row r="43" spans="1:12" x14ac:dyDescent="0.25">
      <c r="A43" t="s">
        <v>2534</v>
      </c>
      <c r="B43" s="7" t="s">
        <v>471</v>
      </c>
      <c r="C43" s="22">
        <v>0</v>
      </c>
      <c r="D43" s="22">
        <v>108</v>
      </c>
      <c r="E43" s="22">
        <v>362</v>
      </c>
      <c r="F43" s="22">
        <v>0</v>
      </c>
      <c r="G43" s="22">
        <v>393.5</v>
      </c>
      <c r="H43" s="21">
        <v>500</v>
      </c>
      <c r="I43" s="21"/>
      <c r="J43" s="21">
        <v>0</v>
      </c>
      <c r="K43" s="21">
        <v>0</v>
      </c>
      <c r="L43" s="22">
        <f t="shared" si="2"/>
        <v>0</v>
      </c>
    </row>
    <row r="44" spans="1:12" x14ac:dyDescent="0.25">
      <c r="A44" t="s">
        <v>2535</v>
      </c>
      <c r="B44" s="7" t="s">
        <v>1047</v>
      </c>
      <c r="C44" s="22">
        <v>34472</v>
      </c>
      <c r="D44" s="22">
        <v>32970</v>
      </c>
      <c r="E44" s="22">
        <v>31679</v>
      </c>
      <c r="F44" s="22">
        <v>45000</v>
      </c>
      <c r="G44" s="22">
        <v>27702.74</v>
      </c>
      <c r="H44" s="21">
        <v>34000</v>
      </c>
      <c r="I44" s="21"/>
      <c r="J44" s="21">
        <v>35000</v>
      </c>
      <c r="K44" s="21">
        <v>0</v>
      </c>
      <c r="L44" s="22">
        <f t="shared" si="2"/>
        <v>35000</v>
      </c>
    </row>
    <row r="45" spans="1:12" x14ac:dyDescent="0.25">
      <c r="A45" t="s">
        <v>2536</v>
      </c>
      <c r="B45" s="7" t="s">
        <v>473</v>
      </c>
      <c r="C45" s="22">
        <v>20058</v>
      </c>
      <c r="D45" s="22">
        <v>3802</v>
      </c>
      <c r="E45" s="22">
        <v>14972</v>
      </c>
      <c r="F45" s="22">
        <v>35000</v>
      </c>
      <c r="G45" s="22">
        <v>16791.48</v>
      </c>
      <c r="H45" s="21">
        <v>20000</v>
      </c>
      <c r="I45" s="21"/>
      <c r="J45" s="21">
        <v>160000</v>
      </c>
      <c r="K45" s="21">
        <v>0</v>
      </c>
      <c r="L45" s="22">
        <f t="shared" si="2"/>
        <v>160000</v>
      </c>
    </row>
    <row r="46" spans="1:12" x14ac:dyDescent="0.25">
      <c r="A46" t="s">
        <v>2537</v>
      </c>
      <c r="B46" s="7" t="s">
        <v>1241</v>
      </c>
      <c r="C46" s="22">
        <v>9983</v>
      </c>
      <c r="D46" s="22">
        <v>660</v>
      </c>
      <c r="E46" s="22">
        <v>0</v>
      </c>
      <c r="F46" s="22">
        <v>0</v>
      </c>
      <c r="G46" s="22">
        <v>0</v>
      </c>
      <c r="H46" s="21">
        <v>0</v>
      </c>
      <c r="I46" s="21"/>
      <c r="J46" s="21">
        <v>0</v>
      </c>
      <c r="K46" s="21">
        <v>0</v>
      </c>
      <c r="L46" s="22">
        <f t="shared" si="2"/>
        <v>0</v>
      </c>
    </row>
    <row r="47" spans="1:12" x14ac:dyDescent="0.25">
      <c r="A47" t="s">
        <v>2538</v>
      </c>
      <c r="B47" s="7" t="s">
        <v>2539</v>
      </c>
      <c r="C47" s="22">
        <v>45</v>
      </c>
      <c r="D47" s="22">
        <v>119</v>
      </c>
      <c r="E47" s="22">
        <v>45</v>
      </c>
      <c r="F47" s="22">
        <v>500</v>
      </c>
      <c r="G47" s="22">
        <v>21.75</v>
      </c>
      <c r="H47" s="21">
        <v>250</v>
      </c>
      <c r="I47" s="21"/>
      <c r="J47" s="21">
        <v>2000</v>
      </c>
      <c r="K47" s="21">
        <v>0</v>
      </c>
      <c r="L47" s="22">
        <f t="shared" si="2"/>
        <v>2000</v>
      </c>
    </row>
    <row r="48" spans="1:12" x14ac:dyDescent="0.25">
      <c r="A48" t="s">
        <v>2540</v>
      </c>
      <c r="B48" s="7" t="s">
        <v>1246</v>
      </c>
      <c r="C48" s="22">
        <v>0</v>
      </c>
      <c r="D48" s="22">
        <v>0</v>
      </c>
      <c r="E48" s="22">
        <v>0</v>
      </c>
      <c r="F48" s="22">
        <v>0</v>
      </c>
      <c r="G48" s="22">
        <v>516.78</v>
      </c>
      <c r="H48" s="21">
        <v>517</v>
      </c>
      <c r="I48" s="21"/>
      <c r="J48" s="21">
        <v>500</v>
      </c>
      <c r="K48" s="21">
        <v>0</v>
      </c>
      <c r="L48" s="22">
        <f t="shared" si="2"/>
        <v>500</v>
      </c>
    </row>
    <row r="49" spans="1:12" x14ac:dyDescent="0.25">
      <c r="A49" t="s">
        <v>2541</v>
      </c>
      <c r="B49" s="7" t="s">
        <v>475</v>
      </c>
      <c r="C49" s="22">
        <v>105</v>
      </c>
      <c r="D49" s="22">
        <v>133</v>
      </c>
      <c r="E49" s="22">
        <v>0</v>
      </c>
      <c r="F49" s="22">
        <v>1000</v>
      </c>
      <c r="G49" s="22">
        <v>6.32</v>
      </c>
      <c r="H49" s="21">
        <v>100</v>
      </c>
      <c r="I49" s="21"/>
      <c r="J49" s="21">
        <v>0</v>
      </c>
      <c r="K49" s="21">
        <v>0</v>
      </c>
      <c r="L49" s="22">
        <f t="shared" si="2"/>
        <v>0</v>
      </c>
    </row>
    <row r="50" spans="1:12" x14ac:dyDescent="0.25">
      <c r="A50" t="s">
        <v>2542</v>
      </c>
      <c r="B50" s="7" t="s">
        <v>477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1">
        <v>0</v>
      </c>
      <c r="I50" s="21"/>
      <c r="J50" s="21">
        <v>5000</v>
      </c>
      <c r="K50" s="21">
        <v>0</v>
      </c>
      <c r="L50" s="22">
        <f t="shared" si="2"/>
        <v>5000</v>
      </c>
    </row>
    <row r="51" spans="1:12" x14ac:dyDescent="0.25">
      <c r="C51" s="22"/>
      <c r="D51" s="22"/>
      <c r="E51" s="22"/>
      <c r="F51" s="22"/>
      <c r="G51" s="22"/>
      <c r="H51" s="21"/>
      <c r="I51" s="21"/>
      <c r="J51" s="21"/>
      <c r="K51" s="21"/>
      <c r="L51" s="22"/>
    </row>
    <row r="52" spans="1:12" x14ac:dyDescent="0.25">
      <c r="C52" s="22"/>
      <c r="D52" s="22"/>
      <c r="E52" s="22"/>
      <c r="F52" s="22"/>
      <c r="G52" s="22"/>
      <c r="H52" s="21"/>
      <c r="I52" s="21"/>
      <c r="J52" s="21"/>
      <c r="K52" s="21"/>
      <c r="L52" s="22"/>
    </row>
    <row r="53" spans="1:12" x14ac:dyDescent="0.25">
      <c r="A53" t="s">
        <v>109</v>
      </c>
      <c r="C53" s="22"/>
      <c r="D53" s="22"/>
      <c r="E53" s="22"/>
      <c r="F53" s="22"/>
      <c r="G53" s="22"/>
      <c r="H53" s="21"/>
      <c r="I53" s="21"/>
      <c r="J53" s="21"/>
      <c r="K53" s="21"/>
      <c r="L53" s="22"/>
    </row>
    <row r="54" spans="1:12" x14ac:dyDescent="0.25">
      <c r="B54" t="s">
        <v>478</v>
      </c>
      <c r="C54" s="20">
        <f t="shared" ref="C54:H54" si="3">SUM(C38:C50)</f>
        <v>71840</v>
      </c>
      <c r="D54" s="20">
        <f t="shared" si="3"/>
        <v>43337</v>
      </c>
      <c r="E54" s="20">
        <f t="shared" si="3"/>
        <v>48086</v>
      </c>
      <c r="F54" s="20">
        <f t="shared" si="3"/>
        <v>83616</v>
      </c>
      <c r="G54" s="20">
        <f t="shared" si="3"/>
        <v>46428.32</v>
      </c>
      <c r="H54" s="20">
        <f t="shared" si="3"/>
        <v>56363</v>
      </c>
      <c r="I54" s="20"/>
      <c r="J54" s="20">
        <f>SUM(J38:J50)</f>
        <v>205095.32500000001</v>
      </c>
      <c r="K54" s="20">
        <f>SUM(K38:K50)</f>
        <v>0</v>
      </c>
      <c r="L54" s="20">
        <f>SUM(L38:L50)</f>
        <v>205095.32500000001</v>
      </c>
    </row>
    <row r="55" spans="1:12" x14ac:dyDescent="0.25">
      <c r="C55" s="22"/>
      <c r="D55" s="22"/>
      <c r="E55" s="22"/>
      <c r="F55" s="22"/>
      <c r="G55" s="22"/>
      <c r="H55" s="21"/>
      <c r="I55" s="21"/>
      <c r="J55" s="21"/>
      <c r="K55" s="21"/>
      <c r="L55" s="22"/>
    </row>
    <row r="56" spans="1:12" x14ac:dyDescent="0.25">
      <c r="A56" t="s">
        <v>489</v>
      </c>
      <c r="C56" s="22"/>
      <c r="D56" s="22"/>
      <c r="E56" s="22"/>
      <c r="F56" s="22"/>
      <c r="G56" s="22"/>
      <c r="H56" s="21"/>
      <c r="I56" s="21"/>
      <c r="J56" s="21"/>
      <c r="K56" s="21"/>
      <c r="L56" s="22"/>
    </row>
    <row r="57" spans="1:12" x14ac:dyDescent="0.25">
      <c r="A57" t="s">
        <v>18</v>
      </c>
      <c r="C57" s="22"/>
      <c r="D57" s="22"/>
      <c r="E57" s="22"/>
      <c r="F57" s="22"/>
      <c r="G57" s="22"/>
      <c r="H57" s="21"/>
      <c r="I57" s="21"/>
      <c r="J57" s="21"/>
      <c r="K57" s="21"/>
      <c r="L57" s="22"/>
    </row>
    <row r="58" spans="1:12" x14ac:dyDescent="0.25">
      <c r="A58" t="s">
        <v>2543</v>
      </c>
      <c r="B58" s="7" t="s">
        <v>489</v>
      </c>
      <c r="C58" s="22">
        <v>553</v>
      </c>
      <c r="D58" s="22">
        <v>171</v>
      </c>
      <c r="E58" s="22">
        <v>214</v>
      </c>
      <c r="F58" s="22">
        <v>500</v>
      </c>
      <c r="G58" s="22">
        <v>980.54</v>
      </c>
      <c r="H58" s="21">
        <v>1000</v>
      </c>
      <c r="I58" s="21"/>
      <c r="J58" s="21">
        <v>2500</v>
      </c>
      <c r="K58" s="21">
        <v>0</v>
      </c>
      <c r="L58" s="22">
        <f>SUM(J58+K58)</f>
        <v>2500</v>
      </c>
    </row>
    <row r="59" spans="1:12" x14ac:dyDescent="0.25">
      <c r="A59" t="s">
        <v>2544</v>
      </c>
      <c r="B59" s="7" t="s">
        <v>1252</v>
      </c>
      <c r="C59" s="22">
        <v>0</v>
      </c>
      <c r="D59" s="22">
        <v>0</v>
      </c>
      <c r="E59" s="22">
        <v>0</v>
      </c>
      <c r="F59" s="22">
        <v>150</v>
      </c>
      <c r="G59" s="22">
        <v>1968.39</v>
      </c>
      <c r="H59" s="21">
        <v>2000</v>
      </c>
      <c r="I59" s="21"/>
      <c r="J59" s="21">
        <v>1500</v>
      </c>
      <c r="K59" s="21">
        <v>0</v>
      </c>
      <c r="L59" s="22">
        <f t="shared" ref="L59:L63" si="4">SUM(J59+K59)</f>
        <v>1500</v>
      </c>
    </row>
    <row r="60" spans="1:12" x14ac:dyDescent="0.25">
      <c r="A60" t="s">
        <v>2545</v>
      </c>
      <c r="B60" s="7" t="s">
        <v>496</v>
      </c>
      <c r="C60" s="22">
        <v>3713</v>
      </c>
      <c r="D60" s="22">
        <v>508</v>
      </c>
      <c r="E60" s="22">
        <v>1058</v>
      </c>
      <c r="F60" s="22">
        <v>2000</v>
      </c>
      <c r="G60" s="22">
        <v>1136.6400000000001</v>
      </c>
      <c r="H60" s="21">
        <v>2700</v>
      </c>
      <c r="I60" s="21"/>
      <c r="J60" s="21">
        <v>2500</v>
      </c>
      <c r="K60" s="21">
        <v>0</v>
      </c>
      <c r="L60" s="22">
        <f t="shared" si="4"/>
        <v>2500</v>
      </c>
    </row>
    <row r="61" spans="1:12" x14ac:dyDescent="0.25">
      <c r="A61" t="s">
        <v>2546</v>
      </c>
      <c r="B61" s="7" t="s">
        <v>1259</v>
      </c>
      <c r="C61" s="22">
        <v>430</v>
      </c>
      <c r="D61" s="22">
        <v>258</v>
      </c>
      <c r="E61" s="22">
        <v>372</v>
      </c>
      <c r="F61" s="22">
        <v>500</v>
      </c>
      <c r="G61" s="22">
        <v>200</v>
      </c>
      <c r="H61" s="21">
        <v>1300</v>
      </c>
      <c r="I61" s="21"/>
      <c r="J61" s="21">
        <v>1000</v>
      </c>
      <c r="K61" s="21">
        <v>0</v>
      </c>
      <c r="L61" s="22">
        <f t="shared" si="4"/>
        <v>1000</v>
      </c>
    </row>
    <row r="62" spans="1:12" hidden="1" x14ac:dyDescent="0.25">
      <c r="A62" t="s">
        <v>2547</v>
      </c>
      <c r="B62" s="7" t="s">
        <v>498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1">
        <v>0</v>
      </c>
      <c r="I62" s="21"/>
      <c r="J62" s="21">
        <v>0</v>
      </c>
      <c r="K62" s="21">
        <v>0</v>
      </c>
      <c r="L62" s="22">
        <f t="shared" si="4"/>
        <v>0</v>
      </c>
    </row>
    <row r="63" spans="1:12" hidden="1" x14ac:dyDescent="0.25">
      <c r="A63" t="s">
        <v>2548</v>
      </c>
      <c r="B63" s="7" t="s">
        <v>500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1">
        <v>0</v>
      </c>
      <c r="I63" s="21"/>
      <c r="J63" s="21">
        <v>0</v>
      </c>
      <c r="K63" s="21">
        <v>0</v>
      </c>
      <c r="L63" s="22">
        <f t="shared" si="4"/>
        <v>0</v>
      </c>
    </row>
    <row r="64" spans="1:12" x14ac:dyDescent="0.25">
      <c r="C64" s="22"/>
      <c r="D64" s="22"/>
      <c r="E64" s="22"/>
      <c r="F64" s="22"/>
      <c r="G64" s="22"/>
      <c r="H64" s="21"/>
      <c r="I64" s="21"/>
      <c r="J64" s="21"/>
      <c r="K64" s="21"/>
      <c r="L64" s="22"/>
    </row>
    <row r="65" spans="1:12" x14ac:dyDescent="0.25">
      <c r="C65" s="22"/>
      <c r="D65" s="22"/>
      <c r="E65" s="22"/>
      <c r="F65" s="22"/>
      <c r="G65" s="22"/>
      <c r="H65" s="21"/>
      <c r="I65" s="21"/>
      <c r="J65" s="21"/>
      <c r="K65" s="21"/>
      <c r="L65" s="22"/>
    </row>
    <row r="66" spans="1:12" x14ac:dyDescent="0.25">
      <c r="A66" t="s">
        <v>109</v>
      </c>
      <c r="C66" s="22"/>
      <c r="D66" s="22"/>
      <c r="E66" s="22"/>
      <c r="F66" s="22"/>
      <c r="G66" s="22"/>
      <c r="H66" s="21"/>
      <c r="I66" s="21"/>
      <c r="J66" s="21"/>
      <c r="K66" s="21"/>
      <c r="L66" s="22"/>
    </row>
    <row r="67" spans="1:12" x14ac:dyDescent="0.25">
      <c r="B67" t="s">
        <v>489</v>
      </c>
      <c r="C67" s="20">
        <f t="shared" ref="C67:H67" si="5">SUM(C58:C63)</f>
        <v>4696</v>
      </c>
      <c r="D67" s="20">
        <f t="shared" si="5"/>
        <v>937</v>
      </c>
      <c r="E67" s="20">
        <f t="shared" si="5"/>
        <v>1644</v>
      </c>
      <c r="F67" s="20">
        <f t="shared" si="5"/>
        <v>3150</v>
      </c>
      <c r="G67" s="20">
        <f t="shared" si="5"/>
        <v>4285.5700000000006</v>
      </c>
      <c r="H67" s="20">
        <f t="shared" si="5"/>
        <v>7000</v>
      </c>
      <c r="I67" s="20"/>
      <c r="J67" s="20">
        <f>SUM(J58:J63)</f>
        <v>7500</v>
      </c>
      <c r="K67" s="20">
        <f>SUM(K58:K63)</f>
        <v>0</v>
      </c>
      <c r="L67" s="20">
        <f>SUM(L58:L63)</f>
        <v>7500</v>
      </c>
    </row>
    <row r="68" spans="1:12" x14ac:dyDescent="0.25">
      <c r="A68" t="s">
        <v>110</v>
      </c>
      <c r="C68" s="22"/>
      <c r="D68" s="22"/>
      <c r="E68" s="22"/>
      <c r="F68" s="22"/>
      <c r="G68" s="22"/>
      <c r="H68" s="21"/>
      <c r="I68" s="21"/>
      <c r="J68" s="21"/>
      <c r="K68" s="21"/>
      <c r="L68" s="22"/>
    </row>
    <row r="69" spans="1:12" x14ac:dyDescent="0.25">
      <c r="A69" t="s">
        <v>501</v>
      </c>
      <c r="C69" s="22"/>
      <c r="D69" s="22"/>
      <c r="E69" s="22"/>
      <c r="F69" s="22"/>
      <c r="G69" s="22"/>
      <c r="H69" s="21"/>
      <c r="I69" s="21"/>
      <c r="J69" s="21"/>
      <c r="K69" s="21"/>
      <c r="L69" s="22"/>
    </row>
    <row r="70" spans="1:12" x14ac:dyDescent="0.25">
      <c r="A70" t="s">
        <v>18</v>
      </c>
      <c r="C70" s="22"/>
      <c r="D70" s="22"/>
      <c r="E70" s="22"/>
      <c r="F70" s="22"/>
      <c r="G70" s="22"/>
      <c r="H70" s="21"/>
      <c r="I70" s="21"/>
      <c r="J70" s="21"/>
      <c r="K70" s="21"/>
      <c r="L70" s="22"/>
    </row>
    <row r="71" spans="1:12" x14ac:dyDescent="0.25">
      <c r="A71" t="s">
        <v>2549</v>
      </c>
      <c r="B71" s="7" t="s">
        <v>2550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1">
        <v>0</v>
      </c>
      <c r="I71" s="21"/>
      <c r="J71" s="21">
        <v>0</v>
      </c>
      <c r="K71" s="21">
        <v>0</v>
      </c>
      <c r="L71" s="22">
        <f>SUM(J71+K71)</f>
        <v>0</v>
      </c>
    </row>
    <row r="72" spans="1:12" x14ac:dyDescent="0.25">
      <c r="A72" t="s">
        <v>2551</v>
      </c>
      <c r="B72" s="7" t="s">
        <v>509</v>
      </c>
      <c r="C72" s="22">
        <v>2950</v>
      </c>
      <c r="D72" s="22">
        <v>2445</v>
      </c>
      <c r="E72" s="22">
        <v>0</v>
      </c>
      <c r="F72" s="22">
        <v>3000</v>
      </c>
      <c r="G72" s="22">
        <v>1732.36</v>
      </c>
      <c r="H72" s="21">
        <v>1800</v>
      </c>
      <c r="I72" s="21"/>
      <c r="J72" s="21">
        <v>9000</v>
      </c>
      <c r="K72" s="21">
        <v>0</v>
      </c>
      <c r="L72" s="22">
        <f t="shared" ref="L72:L74" si="6">SUM(J72+K72)</f>
        <v>9000</v>
      </c>
    </row>
    <row r="73" spans="1:12" x14ac:dyDescent="0.25">
      <c r="A73" t="s">
        <v>2552</v>
      </c>
      <c r="B73" s="7" t="s">
        <v>519</v>
      </c>
      <c r="C73" s="22">
        <v>0</v>
      </c>
      <c r="D73" s="22">
        <v>0</v>
      </c>
      <c r="E73" s="22">
        <v>13310</v>
      </c>
      <c r="F73" s="22">
        <v>4000</v>
      </c>
      <c r="G73" s="22">
        <v>0</v>
      </c>
      <c r="H73" s="21">
        <v>0</v>
      </c>
      <c r="I73" s="21"/>
      <c r="J73" s="21">
        <v>0</v>
      </c>
      <c r="K73" s="21">
        <v>0</v>
      </c>
      <c r="L73" s="22">
        <f t="shared" si="6"/>
        <v>0</v>
      </c>
    </row>
    <row r="74" spans="1:12" x14ac:dyDescent="0.25">
      <c r="A74" t="s">
        <v>2553</v>
      </c>
      <c r="B74" s="7" t="s">
        <v>521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1">
        <v>0</v>
      </c>
      <c r="I74" s="21"/>
      <c r="J74" s="21">
        <v>0</v>
      </c>
      <c r="K74" s="21">
        <v>0</v>
      </c>
      <c r="L74" s="22">
        <f t="shared" si="6"/>
        <v>0</v>
      </c>
    </row>
    <row r="75" spans="1:12" x14ac:dyDescent="0.25">
      <c r="C75" s="22"/>
      <c r="D75" s="22"/>
      <c r="E75" s="22"/>
      <c r="F75" s="22"/>
      <c r="G75" s="22"/>
      <c r="H75" s="21"/>
      <c r="I75" s="21"/>
      <c r="J75" s="21"/>
      <c r="K75" s="21"/>
      <c r="L75" s="22"/>
    </row>
    <row r="76" spans="1:12" x14ac:dyDescent="0.25">
      <c r="C76" s="22"/>
      <c r="D76" s="22"/>
      <c r="E76" s="22"/>
      <c r="F76" s="22"/>
      <c r="G76" s="22"/>
      <c r="H76" s="21"/>
      <c r="I76" s="21"/>
      <c r="J76" s="21"/>
      <c r="K76" s="21"/>
      <c r="L76" s="22"/>
    </row>
    <row r="77" spans="1:12" x14ac:dyDescent="0.25">
      <c r="A77" t="s">
        <v>109</v>
      </c>
      <c r="C77" s="22"/>
      <c r="D77" s="22"/>
      <c r="E77" s="22"/>
      <c r="F77" s="22"/>
      <c r="G77" s="22"/>
      <c r="H77" s="21"/>
      <c r="I77" s="21"/>
      <c r="J77" s="21"/>
      <c r="K77" s="21"/>
      <c r="L77" s="22"/>
    </row>
    <row r="78" spans="1:12" x14ac:dyDescent="0.25">
      <c r="B78" t="s">
        <v>501</v>
      </c>
      <c r="C78" s="20">
        <f t="shared" ref="C78:H78" si="7">SUM(C71:C74)</f>
        <v>2950</v>
      </c>
      <c r="D78" s="20">
        <f t="shared" si="7"/>
        <v>2445</v>
      </c>
      <c r="E78" s="20">
        <f t="shared" si="7"/>
        <v>13310</v>
      </c>
      <c r="F78" s="20">
        <f t="shared" si="7"/>
        <v>7000</v>
      </c>
      <c r="G78" s="20">
        <f t="shared" si="7"/>
        <v>1732.36</v>
      </c>
      <c r="H78" s="20">
        <f t="shared" si="7"/>
        <v>1800</v>
      </c>
      <c r="I78" s="20"/>
      <c r="J78" s="20">
        <f>SUM(J71:J74)</f>
        <v>9000</v>
      </c>
      <c r="K78" s="20">
        <f>SUM(K71:K74)</f>
        <v>0</v>
      </c>
      <c r="L78" s="20">
        <f>SUM(L71:L74)</f>
        <v>9000</v>
      </c>
    </row>
    <row r="79" spans="1:12" x14ac:dyDescent="0.25">
      <c r="C79" s="22"/>
      <c r="D79" s="22"/>
      <c r="E79" s="22"/>
      <c r="F79" s="22"/>
      <c r="G79" s="22"/>
      <c r="H79" s="21"/>
      <c r="I79" s="21"/>
      <c r="J79" s="21"/>
      <c r="K79" s="21"/>
      <c r="L79" s="22"/>
    </row>
    <row r="80" spans="1:12" x14ac:dyDescent="0.25">
      <c r="A80" t="s">
        <v>530</v>
      </c>
      <c r="C80" s="22"/>
      <c r="D80" s="22"/>
      <c r="E80" s="22"/>
      <c r="F80" s="22"/>
      <c r="G80" s="22"/>
      <c r="H80" s="21"/>
      <c r="I80" s="21"/>
      <c r="J80" s="21"/>
      <c r="K80" s="21"/>
      <c r="L80" s="22"/>
    </row>
    <row r="81" spans="1:12" x14ac:dyDescent="0.25">
      <c r="A81" t="s">
        <v>18</v>
      </c>
      <c r="B81" s="7" t="s">
        <v>526</v>
      </c>
      <c r="C81" s="22"/>
      <c r="D81" s="22"/>
      <c r="E81" s="22"/>
      <c r="F81" s="22"/>
      <c r="G81" s="22"/>
      <c r="H81" s="21"/>
      <c r="I81" s="21"/>
      <c r="J81" s="21"/>
      <c r="K81" s="21"/>
      <c r="L81" s="22"/>
    </row>
    <row r="82" spans="1:12" x14ac:dyDescent="0.25">
      <c r="A82" t="s">
        <v>2554</v>
      </c>
      <c r="B82" s="7" t="s">
        <v>1282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1">
        <v>0</v>
      </c>
      <c r="I82" s="21"/>
      <c r="J82" s="21">
        <v>0</v>
      </c>
      <c r="K82" s="21">
        <v>0</v>
      </c>
      <c r="L82" s="22">
        <f>SUM(J81+K81)</f>
        <v>0</v>
      </c>
    </row>
    <row r="83" spans="1:12" x14ac:dyDescent="0.25">
      <c r="A83" t="s">
        <v>3765</v>
      </c>
      <c r="B83" s="7" t="s">
        <v>3766</v>
      </c>
      <c r="C83" s="22">
        <v>0</v>
      </c>
      <c r="D83" s="22">
        <v>0</v>
      </c>
      <c r="E83" s="22">
        <v>0</v>
      </c>
      <c r="F83" s="22">
        <v>80000</v>
      </c>
      <c r="G83" s="22">
        <v>0</v>
      </c>
      <c r="H83" s="21">
        <v>0</v>
      </c>
      <c r="I83" s="21"/>
      <c r="J83" s="21">
        <v>150000</v>
      </c>
      <c r="K83" s="21">
        <v>0</v>
      </c>
      <c r="L83" s="22">
        <f>SUM(J82+K82)</f>
        <v>0</v>
      </c>
    </row>
    <row r="84" spans="1:12" x14ac:dyDescent="0.25">
      <c r="A84" t="s">
        <v>2555</v>
      </c>
      <c r="B84" s="7" t="s">
        <v>660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1">
        <v>0</v>
      </c>
      <c r="I84" s="21"/>
      <c r="J84" s="21">
        <v>0</v>
      </c>
      <c r="K84" s="21">
        <v>0</v>
      </c>
      <c r="L84" s="22">
        <f>SUM(J82+K82)</f>
        <v>0</v>
      </c>
    </row>
    <row r="85" spans="1:12" x14ac:dyDescent="0.25">
      <c r="C85" s="22"/>
      <c r="D85" s="22"/>
      <c r="E85" s="22"/>
      <c r="F85" s="22"/>
      <c r="G85" s="22"/>
      <c r="H85" s="21"/>
      <c r="I85" s="21"/>
      <c r="J85" s="21"/>
      <c r="K85" s="21"/>
      <c r="L85" s="22"/>
    </row>
    <row r="86" spans="1:12" x14ac:dyDescent="0.25">
      <c r="C86" s="22"/>
      <c r="D86" s="22"/>
      <c r="E86" s="22"/>
      <c r="F86" s="22"/>
      <c r="G86" s="22"/>
      <c r="H86" s="21"/>
      <c r="I86" s="21"/>
      <c r="J86" s="21"/>
      <c r="K86" s="21"/>
      <c r="L86" s="22"/>
    </row>
    <row r="87" spans="1:12" x14ac:dyDescent="0.25">
      <c r="A87" t="s">
        <v>109</v>
      </c>
      <c r="C87" s="22"/>
      <c r="D87" s="22"/>
      <c r="E87" s="22"/>
      <c r="F87" s="22"/>
      <c r="G87" s="22"/>
      <c r="H87" s="21"/>
      <c r="I87" s="21"/>
      <c r="J87" s="21"/>
      <c r="K87" s="21"/>
      <c r="L87" s="22"/>
    </row>
    <row r="88" spans="1:12" x14ac:dyDescent="0.25">
      <c r="B88" t="s">
        <v>530</v>
      </c>
      <c r="C88" s="20">
        <f t="shared" ref="C88:F88" si="8">SUM(C82:C84)</f>
        <v>0</v>
      </c>
      <c r="D88" s="20">
        <f t="shared" si="8"/>
        <v>0</v>
      </c>
      <c r="E88" s="20">
        <f t="shared" si="8"/>
        <v>0</v>
      </c>
      <c r="F88" s="20">
        <f t="shared" si="8"/>
        <v>80000</v>
      </c>
      <c r="G88" s="20">
        <f>SUM(G82:G84)</f>
        <v>0</v>
      </c>
      <c r="H88" s="20">
        <f>SUM(H82:H84)</f>
        <v>0</v>
      </c>
      <c r="I88" s="20"/>
      <c r="J88" s="20">
        <f>SUM(J82:J84)</f>
        <v>150000</v>
      </c>
      <c r="K88" s="20">
        <f>SUM(K82:K84)</f>
        <v>0</v>
      </c>
      <c r="L88" s="20">
        <f>SUM(L82:L84)</f>
        <v>0</v>
      </c>
    </row>
    <row r="89" spans="1:12" x14ac:dyDescent="0.25">
      <c r="C89" s="22"/>
      <c r="D89" s="22"/>
      <c r="E89" s="22"/>
      <c r="F89" s="22"/>
      <c r="G89" s="22"/>
      <c r="H89" s="21"/>
      <c r="I89" s="21"/>
      <c r="J89" s="21"/>
      <c r="K89" s="21"/>
      <c r="L89" s="22"/>
    </row>
    <row r="90" spans="1:12" x14ac:dyDescent="0.25">
      <c r="C90" s="22"/>
      <c r="D90" s="22"/>
      <c r="E90" s="22"/>
      <c r="F90" s="22"/>
      <c r="G90" s="22"/>
      <c r="H90" s="21"/>
      <c r="I90" s="21"/>
      <c r="J90" s="21"/>
      <c r="K90" s="21"/>
      <c r="L90" s="22"/>
    </row>
    <row r="91" spans="1:12" x14ac:dyDescent="0.25">
      <c r="A91" t="s">
        <v>109</v>
      </c>
      <c r="C91" s="22"/>
      <c r="D91" s="22"/>
      <c r="E91" s="22"/>
      <c r="F91" s="22"/>
      <c r="G91" s="22"/>
      <c r="H91" s="21"/>
      <c r="I91" s="21"/>
      <c r="J91" s="21"/>
      <c r="K91" s="21"/>
      <c r="L91" s="22"/>
    </row>
    <row r="92" spans="1:12" x14ac:dyDescent="0.25">
      <c r="A92">
        <v>82</v>
      </c>
      <c r="B92" t="s">
        <v>3767</v>
      </c>
      <c r="C92" s="20">
        <f t="shared" ref="C92:H92" si="9">C34+C54+C67+C78+C88</f>
        <v>109703</v>
      </c>
      <c r="D92" s="20">
        <f t="shared" si="9"/>
        <v>74156</v>
      </c>
      <c r="E92" s="20">
        <f t="shared" si="9"/>
        <v>99386</v>
      </c>
      <c r="F92" s="20">
        <f t="shared" si="9"/>
        <v>240110</v>
      </c>
      <c r="G92" s="20">
        <f t="shared" si="9"/>
        <v>95118.6</v>
      </c>
      <c r="H92" s="20">
        <f t="shared" si="9"/>
        <v>115795</v>
      </c>
      <c r="I92" s="20"/>
      <c r="J92" s="20">
        <f>J34+J54+J67+J78+J88</f>
        <v>404125.91200000001</v>
      </c>
      <c r="K92" s="20">
        <f>K34+K54+K67+K78+K88</f>
        <v>0</v>
      </c>
      <c r="L92" s="20">
        <f>L34+L54+L67+L78+L88</f>
        <v>254125.91200000001</v>
      </c>
    </row>
  </sheetData>
  <sheetProtection algorithmName="SHA-512" hashValue="qB8w3F4Q/2FlM+QTWqPtTZMB5/XUzr1s+vh9HChg/03up5hNLTLgSzmLRPwcACnvFXTC9t3B615myuFCa7pj6w==" saltValue="l4nCGwuhECLQTuHMhaxofw==" spinCount="100000" sheet="1" objects="1" scenarios="1" insertRows="0"/>
  <pageMargins left="0.25" right="0.25" top="0.75" bottom="0.75" header="0.3" footer="0.3"/>
  <pageSetup scale="76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1D5C-6C02-4671-933C-1A96D35284AE}">
  <sheetPr>
    <pageSetUpPr fitToPage="1"/>
  </sheetPr>
  <dimension ref="A1:L90"/>
  <sheetViews>
    <sheetView zoomScaleNormal="100" workbookViewId="0">
      <selection activeCell="J80" sqref="J80"/>
    </sheetView>
  </sheetViews>
  <sheetFormatPr defaultRowHeight="15" x14ac:dyDescent="0.25"/>
  <cols>
    <col min="1" max="1" width="9.5703125" customWidth="1"/>
    <col min="2" max="2" width="32.5703125" style="7" bestFit="1" customWidth="1"/>
    <col min="3" max="3" width="13.28515625" style="12" bestFit="1" customWidth="1"/>
    <col min="4" max="4" width="15" style="12" bestFit="1" customWidth="1"/>
    <col min="5" max="5" width="14" style="12" bestFit="1" customWidth="1"/>
    <col min="6" max="6" width="14.28515625" style="12" bestFit="1" customWidth="1"/>
    <col min="7" max="7" width="12.85546875" style="12" bestFit="1" customWidth="1"/>
    <col min="8" max="8" width="13.28515625" style="11" bestFit="1" customWidth="1"/>
    <col min="9" max="9" width="10.7109375" style="11" customWidth="1"/>
    <col min="10" max="10" width="13.28515625" style="11" bestFit="1" customWidth="1"/>
    <col min="11" max="11" width="14.7109375" style="11" bestFit="1" customWidth="1"/>
    <col min="12" max="12" width="14.140625" style="12" bestFit="1" customWidth="1"/>
  </cols>
  <sheetData>
    <row r="1" spans="1:12" x14ac:dyDescent="0.25">
      <c r="A1" t="s">
        <v>3726</v>
      </c>
    </row>
    <row r="2" spans="1:12" x14ac:dyDescent="0.25">
      <c r="A2" t="s">
        <v>386</v>
      </c>
    </row>
    <row r="3" spans="1:12" x14ac:dyDescent="0.25">
      <c r="F3" s="13" t="s">
        <v>2</v>
      </c>
      <c r="G3" s="14" t="s">
        <v>3410</v>
      </c>
      <c r="H3" s="11" t="s">
        <v>4</v>
      </c>
      <c r="J3" s="15" t="s">
        <v>3411</v>
      </c>
      <c r="K3" s="16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6" t="s">
        <v>12</v>
      </c>
      <c r="I4" s="16"/>
      <c r="J4" s="16" t="s">
        <v>3414</v>
      </c>
      <c r="K4" s="16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6" t="s">
        <v>17</v>
      </c>
      <c r="I5" s="16"/>
      <c r="J5" s="16" t="s">
        <v>13</v>
      </c>
      <c r="K5" s="16" t="s">
        <v>3417</v>
      </c>
      <c r="L5" s="14" t="s">
        <v>13</v>
      </c>
    </row>
    <row r="6" spans="1:12" x14ac:dyDescent="0.25">
      <c r="A6" t="s">
        <v>18</v>
      </c>
      <c r="B6" s="7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1" t="s">
        <v>20</v>
      </c>
      <c r="J6" s="11" t="s">
        <v>24</v>
      </c>
      <c r="K6" s="11" t="s">
        <v>20</v>
      </c>
      <c r="L6" s="12" t="s">
        <v>20</v>
      </c>
    </row>
    <row r="8" spans="1:12" x14ac:dyDescent="0.25">
      <c r="A8" t="s">
        <v>3768</v>
      </c>
    </row>
    <row r="11" spans="1:12" x14ac:dyDescent="0.25">
      <c r="A11" t="s">
        <v>441</v>
      </c>
    </row>
    <row r="12" spans="1:12" x14ac:dyDescent="0.25">
      <c r="A12" t="s">
        <v>18</v>
      </c>
      <c r="B12" s="7" t="s">
        <v>228</v>
      </c>
      <c r="C12" s="22"/>
      <c r="D12" s="22"/>
      <c r="E12" s="22"/>
      <c r="F12" s="22"/>
      <c r="G12" s="22"/>
      <c r="H12" s="21"/>
      <c r="I12" s="21"/>
      <c r="J12" s="21"/>
      <c r="K12" s="21"/>
      <c r="L12" s="22"/>
    </row>
    <row r="13" spans="1:12" x14ac:dyDescent="0.25">
      <c r="A13" t="s">
        <v>2558</v>
      </c>
      <c r="B13" s="7" t="s">
        <v>569</v>
      </c>
      <c r="C13" s="22">
        <v>812</v>
      </c>
      <c r="D13" s="22">
        <v>-812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2559</v>
      </c>
      <c r="B14" s="7" t="s">
        <v>396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1">
        <v>0</v>
      </c>
      <c r="I14" s="21"/>
      <c r="J14" s="21">
        <v>32</v>
      </c>
      <c r="K14" s="21">
        <v>0</v>
      </c>
      <c r="L14" s="22">
        <f t="shared" ref="L14:L30" si="0">SUM(J14+K14)</f>
        <v>32</v>
      </c>
    </row>
    <row r="15" spans="1:12" x14ac:dyDescent="0.25">
      <c r="A15" t="s">
        <v>2560</v>
      </c>
      <c r="B15" s="7" t="s">
        <v>398</v>
      </c>
      <c r="C15" s="22">
        <v>1574</v>
      </c>
      <c r="D15" s="22">
        <v>1323</v>
      </c>
      <c r="E15" s="22">
        <v>1665</v>
      </c>
      <c r="F15" s="22">
        <v>0</v>
      </c>
      <c r="G15" s="22">
        <v>1135.9000000000001</v>
      </c>
      <c r="H15" s="21">
        <v>1300</v>
      </c>
      <c r="I15" s="21"/>
      <c r="J15" s="21">
        <v>1614.89</v>
      </c>
      <c r="K15" s="21">
        <v>0</v>
      </c>
      <c r="L15" s="22">
        <f t="shared" si="0"/>
        <v>1614.89</v>
      </c>
    </row>
    <row r="16" spans="1:12" x14ac:dyDescent="0.25">
      <c r="A16" t="s">
        <v>2561</v>
      </c>
      <c r="B16" s="7" t="s">
        <v>400</v>
      </c>
      <c r="C16" s="22">
        <v>1680</v>
      </c>
      <c r="D16" s="22">
        <v>1429</v>
      </c>
      <c r="E16" s="22">
        <v>2024</v>
      </c>
      <c r="F16" s="22">
        <v>0</v>
      </c>
      <c r="G16" s="22">
        <v>1607.35</v>
      </c>
      <c r="H16" s="21">
        <v>2000</v>
      </c>
      <c r="I16" s="21"/>
      <c r="J16" s="21">
        <f>484.91+1432</f>
        <v>1916.91</v>
      </c>
      <c r="K16" s="21">
        <v>0</v>
      </c>
      <c r="L16" s="22">
        <f t="shared" si="0"/>
        <v>1916.91</v>
      </c>
    </row>
    <row r="17" spans="1:12" x14ac:dyDescent="0.25">
      <c r="A17" t="s">
        <v>2562</v>
      </c>
      <c r="B17" s="7" t="s">
        <v>402</v>
      </c>
      <c r="C17" s="22">
        <v>5243</v>
      </c>
      <c r="D17" s="22">
        <v>5444</v>
      </c>
      <c r="E17" s="22">
        <v>8635</v>
      </c>
      <c r="F17" s="22">
        <v>0</v>
      </c>
      <c r="G17" s="22">
        <v>6731.34</v>
      </c>
      <c r="H17" s="21">
        <v>7000</v>
      </c>
      <c r="I17" s="21"/>
      <c r="J17" s="21">
        <v>4837.68</v>
      </c>
      <c r="K17" s="21">
        <v>0</v>
      </c>
      <c r="L17" s="22">
        <f t="shared" si="0"/>
        <v>4837.68</v>
      </c>
    </row>
    <row r="18" spans="1:12" x14ac:dyDescent="0.25">
      <c r="A18" t="s">
        <v>2563</v>
      </c>
      <c r="B18" s="7" t="s">
        <v>404</v>
      </c>
      <c r="C18" s="22">
        <v>307</v>
      </c>
      <c r="D18" s="22">
        <v>331</v>
      </c>
      <c r="E18" s="22">
        <v>330</v>
      </c>
      <c r="F18" s="22">
        <v>0</v>
      </c>
      <c r="G18" s="22">
        <v>259.86</v>
      </c>
      <c r="H18" s="21">
        <v>300</v>
      </c>
      <c r="I18" s="21"/>
      <c r="J18" s="21">
        <v>360</v>
      </c>
      <c r="K18" s="21">
        <v>0</v>
      </c>
      <c r="L18" s="22">
        <f t="shared" si="0"/>
        <v>360</v>
      </c>
    </row>
    <row r="19" spans="1:12" x14ac:dyDescent="0.25">
      <c r="A19" t="s">
        <v>2564</v>
      </c>
      <c r="B19" s="7" t="s">
        <v>406</v>
      </c>
      <c r="C19" s="22">
        <v>221</v>
      </c>
      <c r="D19" s="22">
        <v>349</v>
      </c>
      <c r="E19" s="22">
        <v>614</v>
      </c>
      <c r="F19" s="22">
        <v>0</v>
      </c>
      <c r="G19" s="22">
        <v>384.21</v>
      </c>
      <c r="H19" s="21">
        <v>384</v>
      </c>
      <c r="I19" s="21"/>
      <c r="J19" s="21">
        <f>G19*10%+G19</f>
        <v>422.63099999999997</v>
      </c>
      <c r="K19" s="21">
        <v>0</v>
      </c>
      <c r="L19" s="22">
        <f t="shared" si="0"/>
        <v>422.63099999999997</v>
      </c>
    </row>
    <row r="20" spans="1:12" x14ac:dyDescent="0.25">
      <c r="A20" t="s">
        <v>2565</v>
      </c>
      <c r="B20" s="7" t="s">
        <v>690</v>
      </c>
      <c r="C20" s="22">
        <v>0</v>
      </c>
      <c r="D20" s="22">
        <v>52</v>
      </c>
      <c r="E20" s="22">
        <v>121</v>
      </c>
      <c r="F20" s="22">
        <v>0</v>
      </c>
      <c r="G20" s="22">
        <v>138.41</v>
      </c>
      <c r="H20" s="21">
        <v>138</v>
      </c>
      <c r="I20" s="21"/>
      <c r="J20" s="21">
        <v>17.3</v>
      </c>
      <c r="K20" s="21">
        <v>0</v>
      </c>
      <c r="L20" s="22">
        <f t="shared" si="0"/>
        <v>17.3</v>
      </c>
    </row>
    <row r="21" spans="1:12" x14ac:dyDescent="0.25">
      <c r="A21" t="s">
        <v>2566</v>
      </c>
      <c r="B21" s="7" t="s">
        <v>426</v>
      </c>
      <c r="C21" s="22">
        <v>202</v>
      </c>
      <c r="D21" s="22">
        <v>202</v>
      </c>
      <c r="E21" s="22">
        <v>202</v>
      </c>
      <c r="F21" s="22">
        <v>0</v>
      </c>
      <c r="G21" s="22">
        <v>207.61</v>
      </c>
      <c r="H21" s="21">
        <v>208</v>
      </c>
      <c r="I21" s="21"/>
      <c r="J21" s="21">
        <v>202.45</v>
      </c>
      <c r="K21" s="21">
        <v>0</v>
      </c>
      <c r="L21" s="22">
        <f t="shared" si="0"/>
        <v>202.45</v>
      </c>
    </row>
    <row r="22" spans="1:12" x14ac:dyDescent="0.25">
      <c r="A22" t="s">
        <v>2567</v>
      </c>
      <c r="B22" s="7" t="s">
        <v>1204</v>
      </c>
      <c r="C22" s="22">
        <v>90</v>
      </c>
      <c r="D22" s="22">
        <v>0</v>
      </c>
      <c r="E22" s="22">
        <v>90</v>
      </c>
      <c r="F22" s="22">
        <v>0</v>
      </c>
      <c r="G22" s="22">
        <v>0</v>
      </c>
      <c r="H22" s="21">
        <v>0</v>
      </c>
      <c r="I22" s="21"/>
      <c r="J22" s="21">
        <v>89.98</v>
      </c>
      <c r="K22" s="21">
        <v>0</v>
      </c>
      <c r="L22" s="22">
        <f t="shared" si="0"/>
        <v>89.98</v>
      </c>
    </row>
    <row r="23" spans="1:12" x14ac:dyDescent="0.25">
      <c r="A23" t="s">
        <v>2568</v>
      </c>
      <c r="B23" s="7" t="s">
        <v>428</v>
      </c>
      <c r="C23" s="22">
        <v>115</v>
      </c>
      <c r="D23" s="22">
        <v>0</v>
      </c>
      <c r="E23" s="22">
        <v>0</v>
      </c>
      <c r="F23" s="22">
        <v>0</v>
      </c>
      <c r="G23" s="22">
        <v>0</v>
      </c>
      <c r="H23" s="21">
        <v>0</v>
      </c>
      <c r="I23" s="21"/>
      <c r="J23" s="21">
        <v>0</v>
      </c>
      <c r="K23" s="21">
        <v>0</v>
      </c>
      <c r="L23" s="22">
        <f t="shared" si="0"/>
        <v>0</v>
      </c>
    </row>
    <row r="24" spans="1:12" x14ac:dyDescent="0.25">
      <c r="A24" t="s">
        <v>2569</v>
      </c>
      <c r="B24" s="7" t="s">
        <v>430</v>
      </c>
      <c r="C24" s="22">
        <v>17</v>
      </c>
      <c r="D24" s="22">
        <v>17</v>
      </c>
      <c r="E24" s="22">
        <v>17</v>
      </c>
      <c r="F24" s="22">
        <v>0</v>
      </c>
      <c r="G24" s="22">
        <v>17.3</v>
      </c>
      <c r="H24" s="21">
        <v>17</v>
      </c>
      <c r="I24" s="21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2570</v>
      </c>
      <c r="B25" s="7" t="s">
        <v>432</v>
      </c>
      <c r="C25" s="22">
        <v>1160</v>
      </c>
      <c r="D25" s="22">
        <v>1573</v>
      </c>
      <c r="E25" s="22">
        <v>2351</v>
      </c>
      <c r="F25" s="22">
        <v>0</v>
      </c>
      <c r="G25" s="22">
        <v>2151.9699999999998</v>
      </c>
      <c r="H25" s="21">
        <v>3000</v>
      </c>
      <c r="I25" s="21"/>
      <c r="J25" s="21">
        <v>700</v>
      </c>
      <c r="K25" s="21">
        <v>0</v>
      </c>
      <c r="L25" s="22">
        <f t="shared" si="0"/>
        <v>700</v>
      </c>
    </row>
    <row r="26" spans="1:12" x14ac:dyDescent="0.25">
      <c r="A26" t="s">
        <v>2571</v>
      </c>
      <c r="B26" s="7" t="s">
        <v>434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1">
        <v>0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2572</v>
      </c>
      <c r="B27" s="7" t="s">
        <v>436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2573</v>
      </c>
      <c r="B28" s="7" t="s">
        <v>1676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2574</v>
      </c>
      <c r="B29" s="7" t="s">
        <v>2575</v>
      </c>
      <c r="C29" s="22">
        <v>18908</v>
      </c>
      <c r="D29" s="22">
        <v>15357</v>
      </c>
      <c r="E29" s="22">
        <v>19741</v>
      </c>
      <c r="F29" s="22">
        <v>0</v>
      </c>
      <c r="G29" s="22">
        <v>12686.18</v>
      </c>
      <c r="H29" s="21">
        <v>16000</v>
      </c>
      <c r="I29" s="21"/>
      <c r="J29" s="21">
        <v>20800</v>
      </c>
      <c r="K29" s="21">
        <v>0</v>
      </c>
      <c r="L29" s="22">
        <f t="shared" si="0"/>
        <v>20800</v>
      </c>
    </row>
    <row r="30" spans="1:12" x14ac:dyDescent="0.25">
      <c r="A30" t="s">
        <v>2576</v>
      </c>
      <c r="B30" s="7" t="s">
        <v>1221</v>
      </c>
      <c r="C30" s="22">
        <v>225</v>
      </c>
      <c r="D30" s="22">
        <v>113</v>
      </c>
      <c r="E30" s="22">
        <v>338</v>
      </c>
      <c r="F30" s="22">
        <v>0</v>
      </c>
      <c r="G30" s="22">
        <v>262.5</v>
      </c>
      <c r="H30" s="21">
        <v>300</v>
      </c>
      <c r="I30" s="21"/>
      <c r="J30" s="21">
        <v>487.5</v>
      </c>
      <c r="K30" s="21">
        <v>0</v>
      </c>
      <c r="L30" s="22">
        <f t="shared" si="0"/>
        <v>487.5</v>
      </c>
    </row>
    <row r="31" spans="1:12" x14ac:dyDescent="0.25">
      <c r="C31" s="22"/>
      <c r="D31" s="22"/>
      <c r="E31" s="22"/>
      <c r="F31" s="22"/>
      <c r="G31" s="22"/>
      <c r="H31" s="21"/>
      <c r="I31" s="21"/>
      <c r="J31" s="21"/>
      <c r="K31" s="21"/>
      <c r="L31" s="22"/>
    </row>
    <row r="32" spans="1:12" x14ac:dyDescent="0.25">
      <c r="C32" s="22"/>
      <c r="D32" s="22"/>
      <c r="E32" s="22"/>
      <c r="F32" s="22"/>
      <c r="G32" s="22"/>
      <c r="H32" s="21"/>
      <c r="I32" s="21"/>
      <c r="J32" s="21"/>
      <c r="K32" s="21"/>
      <c r="L32" s="22"/>
    </row>
    <row r="33" spans="1:12" x14ac:dyDescent="0.25">
      <c r="A33" t="s">
        <v>109</v>
      </c>
      <c r="C33" s="22"/>
      <c r="D33" s="22"/>
      <c r="E33" s="22"/>
      <c r="F33" s="22"/>
      <c r="G33" s="22"/>
      <c r="H33" s="21"/>
      <c r="I33" s="21"/>
      <c r="J33" s="21"/>
      <c r="K33" s="21"/>
      <c r="L33" s="22"/>
    </row>
    <row r="34" spans="1:12" x14ac:dyDescent="0.25">
      <c r="B34" t="s">
        <v>441</v>
      </c>
      <c r="C34" s="20">
        <f t="shared" ref="C34:H34" si="1">SUM(C13:C30)</f>
        <v>30554</v>
      </c>
      <c r="D34" s="20">
        <f t="shared" si="1"/>
        <v>25378</v>
      </c>
      <c r="E34" s="20">
        <f t="shared" si="1"/>
        <v>36128</v>
      </c>
      <c r="F34" s="20">
        <f t="shared" si="1"/>
        <v>0</v>
      </c>
      <c r="G34" s="20">
        <f t="shared" si="1"/>
        <v>25582.629999999997</v>
      </c>
      <c r="H34" s="20">
        <f t="shared" si="1"/>
        <v>30647</v>
      </c>
      <c r="I34" s="20"/>
      <c r="J34" s="20">
        <f>SUM(J13:J30)</f>
        <v>31481.341</v>
      </c>
      <c r="K34" s="20">
        <f>SUM(K13:K30)</f>
        <v>0</v>
      </c>
      <c r="L34" s="20">
        <f>SUM(L13:L30)</f>
        <v>31481.341</v>
      </c>
    </row>
    <row r="35" spans="1:12" x14ac:dyDescent="0.25">
      <c r="C35" s="22"/>
      <c r="D35" s="22"/>
      <c r="E35" s="22"/>
      <c r="F35" s="22"/>
      <c r="G35" s="22"/>
      <c r="H35" s="21"/>
      <c r="I35" s="21"/>
      <c r="J35" s="21"/>
      <c r="K35" s="21"/>
      <c r="L35" s="22"/>
    </row>
    <row r="36" spans="1:12" x14ac:dyDescent="0.25">
      <c r="A36" t="s">
        <v>478</v>
      </c>
      <c r="C36" s="22"/>
      <c r="D36" s="22"/>
      <c r="E36" s="22"/>
      <c r="F36" s="22"/>
      <c r="G36" s="22"/>
      <c r="H36" s="21"/>
      <c r="I36" s="21"/>
      <c r="J36" s="21"/>
      <c r="K36" s="21"/>
      <c r="L36" s="22"/>
    </row>
    <row r="37" spans="1:12" x14ac:dyDescent="0.25">
      <c r="A37" t="s">
        <v>18</v>
      </c>
      <c r="B37" s="7" t="s">
        <v>21</v>
      </c>
      <c r="C37" s="22"/>
      <c r="D37" s="22"/>
      <c r="E37" s="22"/>
      <c r="F37" s="22"/>
      <c r="G37" s="22"/>
      <c r="H37" s="21"/>
      <c r="I37" s="21"/>
      <c r="J37" s="21"/>
      <c r="K37" s="21"/>
      <c r="L37" s="22"/>
    </row>
    <row r="38" spans="1:12" x14ac:dyDescent="0.25">
      <c r="A38" t="s">
        <v>2577</v>
      </c>
      <c r="B38" s="7" t="s">
        <v>445</v>
      </c>
      <c r="C38" s="22">
        <v>1398</v>
      </c>
      <c r="D38" s="22">
        <v>618</v>
      </c>
      <c r="E38" s="22">
        <v>2765</v>
      </c>
      <c r="F38" s="22">
        <v>3041</v>
      </c>
      <c r="G38" s="22">
        <v>2917.33</v>
      </c>
      <c r="H38" s="21">
        <v>2917</v>
      </c>
      <c r="I38" s="21"/>
      <c r="J38" s="21">
        <f>G38*10%+G38</f>
        <v>3209.0630000000001</v>
      </c>
      <c r="K38" s="21">
        <v>0</v>
      </c>
      <c r="L38" s="22">
        <f>SUM(J38+K38)</f>
        <v>3209.0630000000001</v>
      </c>
    </row>
    <row r="39" spans="1:12" x14ac:dyDescent="0.25">
      <c r="A39" t="s">
        <v>2578</v>
      </c>
      <c r="B39" s="7" t="s">
        <v>447</v>
      </c>
      <c r="C39" s="22">
        <v>86</v>
      </c>
      <c r="D39" s="22">
        <v>378</v>
      </c>
      <c r="E39" s="22">
        <v>55</v>
      </c>
      <c r="F39" s="22">
        <v>500</v>
      </c>
      <c r="G39" s="22">
        <v>926.96</v>
      </c>
      <c r="H39" s="21">
        <v>1000</v>
      </c>
      <c r="I39" s="21"/>
      <c r="J39" s="21">
        <v>500</v>
      </c>
      <c r="K39" s="21">
        <v>0</v>
      </c>
      <c r="L39" s="22">
        <f t="shared" ref="L39:L48" si="2">SUM(J39+K39)</f>
        <v>500</v>
      </c>
    </row>
    <row r="40" spans="1:12" x14ac:dyDescent="0.25">
      <c r="A40" t="s">
        <v>2579</v>
      </c>
      <c r="B40" s="7" t="s">
        <v>449</v>
      </c>
      <c r="C40" s="22">
        <v>0</v>
      </c>
      <c r="D40" s="22">
        <v>0</v>
      </c>
      <c r="E40" s="22">
        <v>0</v>
      </c>
      <c r="F40" s="22">
        <v>100</v>
      </c>
      <c r="G40" s="22">
        <v>0</v>
      </c>
      <c r="H40" s="21">
        <v>0</v>
      </c>
      <c r="I40" s="21"/>
      <c r="J40" s="21">
        <v>250</v>
      </c>
      <c r="K40" s="21">
        <v>0</v>
      </c>
      <c r="L40" s="22">
        <f t="shared" si="2"/>
        <v>250</v>
      </c>
    </row>
    <row r="41" spans="1:12" x14ac:dyDescent="0.25">
      <c r="A41" t="s">
        <v>2580</v>
      </c>
      <c r="B41" s="7" t="s">
        <v>451</v>
      </c>
      <c r="C41" s="22">
        <v>0</v>
      </c>
      <c r="D41" s="22">
        <v>0</v>
      </c>
      <c r="E41" s="22">
        <v>713</v>
      </c>
      <c r="F41" s="22">
        <v>500</v>
      </c>
      <c r="G41" s="22">
        <v>755</v>
      </c>
      <c r="H41" s="21">
        <v>800</v>
      </c>
      <c r="I41" s="21"/>
      <c r="J41" s="21">
        <v>1000</v>
      </c>
      <c r="K41" s="21">
        <v>0</v>
      </c>
      <c r="L41" s="22">
        <f t="shared" si="2"/>
        <v>1000</v>
      </c>
    </row>
    <row r="42" spans="1:12" x14ac:dyDescent="0.25">
      <c r="A42" t="s">
        <v>2581</v>
      </c>
      <c r="B42" s="7" t="s">
        <v>471</v>
      </c>
      <c r="C42" s="22">
        <v>289</v>
      </c>
      <c r="D42" s="22">
        <v>300</v>
      </c>
      <c r="E42" s="22">
        <v>362</v>
      </c>
      <c r="F42" s="22">
        <v>400</v>
      </c>
      <c r="G42" s="22">
        <v>393.5</v>
      </c>
      <c r="H42" s="21">
        <v>425</v>
      </c>
      <c r="I42" s="21"/>
      <c r="J42" s="21">
        <v>600</v>
      </c>
      <c r="K42" s="21">
        <v>0</v>
      </c>
      <c r="L42" s="22">
        <f t="shared" si="2"/>
        <v>600</v>
      </c>
    </row>
    <row r="43" spans="1:12" x14ac:dyDescent="0.25">
      <c r="A43" t="s">
        <v>2582</v>
      </c>
      <c r="B43" s="7" t="s">
        <v>1047</v>
      </c>
      <c r="C43" s="22">
        <v>30016</v>
      </c>
      <c r="D43" s="22">
        <v>29585</v>
      </c>
      <c r="E43" s="22">
        <v>33273</v>
      </c>
      <c r="F43" s="22">
        <v>47000</v>
      </c>
      <c r="G43" s="22">
        <v>30681.4</v>
      </c>
      <c r="H43" s="21">
        <v>37000</v>
      </c>
      <c r="I43" s="21"/>
      <c r="J43" s="21">
        <v>40000</v>
      </c>
      <c r="K43" s="21">
        <v>0</v>
      </c>
      <c r="L43" s="22">
        <f t="shared" si="2"/>
        <v>40000</v>
      </c>
    </row>
    <row r="44" spans="1:12" x14ac:dyDescent="0.25">
      <c r="A44" t="s">
        <v>2583</v>
      </c>
      <c r="B44" s="7" t="s">
        <v>473</v>
      </c>
      <c r="C44" s="22">
        <v>94218</v>
      </c>
      <c r="D44" s="22">
        <v>142278</v>
      </c>
      <c r="E44" s="22">
        <v>144481</v>
      </c>
      <c r="F44" s="22">
        <v>150000</v>
      </c>
      <c r="G44" s="22">
        <v>76370.33</v>
      </c>
      <c r="H44" s="21">
        <v>76370</v>
      </c>
      <c r="I44" s="21"/>
      <c r="J44" s="21">
        <v>200000</v>
      </c>
      <c r="K44" s="21">
        <v>0</v>
      </c>
      <c r="L44" s="22">
        <f t="shared" si="2"/>
        <v>200000</v>
      </c>
    </row>
    <row r="45" spans="1:12" x14ac:dyDescent="0.25">
      <c r="A45" t="s">
        <v>2584</v>
      </c>
      <c r="B45" s="7" t="s">
        <v>1241</v>
      </c>
      <c r="C45" s="22">
        <v>68663</v>
      </c>
      <c r="D45" s="22">
        <v>7287</v>
      </c>
      <c r="E45" s="22">
        <v>0</v>
      </c>
      <c r="F45" s="22">
        <v>0</v>
      </c>
      <c r="G45" s="22">
        <v>0</v>
      </c>
      <c r="H45" s="21">
        <v>0</v>
      </c>
      <c r="I45" s="21"/>
      <c r="J45" s="21">
        <v>0</v>
      </c>
      <c r="K45" s="21">
        <v>0</v>
      </c>
      <c r="L45" s="22">
        <f t="shared" si="2"/>
        <v>0</v>
      </c>
    </row>
    <row r="46" spans="1:12" x14ac:dyDescent="0.25">
      <c r="A46" t="s">
        <v>2585</v>
      </c>
      <c r="B46" s="7" t="s">
        <v>2586</v>
      </c>
      <c r="C46" s="22">
        <v>560</v>
      </c>
      <c r="D46" s="22">
        <v>546</v>
      </c>
      <c r="E46" s="22">
        <v>1935</v>
      </c>
      <c r="F46" s="22">
        <v>1500</v>
      </c>
      <c r="G46" s="22">
        <v>3303.99</v>
      </c>
      <c r="H46" s="21">
        <v>3500</v>
      </c>
      <c r="I46" s="21"/>
      <c r="J46" s="21">
        <v>1500</v>
      </c>
      <c r="K46" s="21">
        <v>0</v>
      </c>
      <c r="L46" s="22">
        <f t="shared" si="2"/>
        <v>1500</v>
      </c>
    </row>
    <row r="47" spans="1:12" x14ac:dyDescent="0.25">
      <c r="A47" t="s">
        <v>2587</v>
      </c>
      <c r="B47" s="7" t="s">
        <v>1246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1">
        <v>0</v>
      </c>
      <c r="I47" s="21"/>
      <c r="J47" s="21">
        <v>2500</v>
      </c>
      <c r="K47" s="21">
        <v>0</v>
      </c>
      <c r="L47" s="22">
        <f t="shared" si="2"/>
        <v>2500</v>
      </c>
    </row>
    <row r="48" spans="1:12" x14ac:dyDescent="0.25">
      <c r="A48" t="s">
        <v>2588</v>
      </c>
      <c r="B48" s="7" t="s">
        <v>475</v>
      </c>
      <c r="C48" s="22">
        <v>33</v>
      </c>
      <c r="D48" s="22">
        <v>28</v>
      </c>
      <c r="E48" s="22">
        <v>65</v>
      </c>
      <c r="F48" s="22">
        <v>250</v>
      </c>
      <c r="G48" s="22">
        <v>0</v>
      </c>
      <c r="H48" s="21">
        <v>0</v>
      </c>
      <c r="I48" s="21"/>
      <c r="J48" s="21">
        <v>500</v>
      </c>
      <c r="K48" s="21">
        <v>0</v>
      </c>
      <c r="L48" s="22">
        <f t="shared" si="2"/>
        <v>500</v>
      </c>
    </row>
    <row r="49" spans="1:12" x14ac:dyDescent="0.25">
      <c r="C49" s="22"/>
      <c r="D49" s="22"/>
      <c r="E49" s="22"/>
      <c r="F49" s="22"/>
      <c r="G49" s="22"/>
      <c r="H49" s="21"/>
      <c r="I49" s="21"/>
      <c r="J49" s="21"/>
      <c r="K49" s="21"/>
      <c r="L49" s="22"/>
    </row>
    <row r="50" spans="1:12" x14ac:dyDescent="0.25">
      <c r="C50" s="22"/>
      <c r="D50" s="22"/>
      <c r="E50" s="22"/>
      <c r="F50" s="22"/>
      <c r="G50" s="22"/>
      <c r="H50" s="21"/>
      <c r="I50" s="21"/>
      <c r="J50" s="21"/>
      <c r="K50" s="21"/>
      <c r="L50" s="22"/>
    </row>
    <row r="51" spans="1:12" x14ac:dyDescent="0.25">
      <c r="A51" t="s">
        <v>109</v>
      </c>
      <c r="C51" s="22"/>
      <c r="D51" s="22"/>
      <c r="E51" s="22"/>
      <c r="F51" s="22"/>
      <c r="G51" s="22"/>
      <c r="H51" s="21"/>
      <c r="I51" s="21"/>
      <c r="J51" s="21"/>
      <c r="K51" s="21"/>
      <c r="L51" s="22"/>
    </row>
    <row r="52" spans="1:12" x14ac:dyDescent="0.25">
      <c r="B52" t="s">
        <v>478</v>
      </c>
      <c r="C52" s="20">
        <f t="shared" ref="C52:H52" si="3">SUM(C38:C48)</f>
        <v>195263</v>
      </c>
      <c r="D52" s="20">
        <f t="shared" si="3"/>
        <v>181020</v>
      </c>
      <c r="E52" s="20">
        <f t="shared" si="3"/>
        <v>183649</v>
      </c>
      <c r="F52" s="20">
        <f t="shared" si="3"/>
        <v>203291</v>
      </c>
      <c r="G52" s="20">
        <f t="shared" si="3"/>
        <v>115348.51000000001</v>
      </c>
      <c r="H52" s="20">
        <f t="shared" si="3"/>
        <v>122012</v>
      </c>
      <c r="I52" s="20"/>
      <c r="J52" s="20">
        <f>SUM(J38:J48)</f>
        <v>250059.06299999999</v>
      </c>
      <c r="K52" s="20">
        <f>SUM(K38:K48)</f>
        <v>0</v>
      </c>
      <c r="L52" s="20">
        <f>SUM(L38:L48)</f>
        <v>250059.06299999999</v>
      </c>
    </row>
    <row r="53" spans="1:12" x14ac:dyDescent="0.25">
      <c r="C53" s="22"/>
      <c r="D53" s="22"/>
      <c r="E53" s="22"/>
      <c r="F53" s="22"/>
      <c r="G53" s="22"/>
      <c r="H53" s="21"/>
      <c r="I53" s="21"/>
      <c r="J53" s="21"/>
      <c r="K53" s="21"/>
      <c r="L53" s="22"/>
    </row>
    <row r="54" spans="1:12" x14ac:dyDescent="0.25">
      <c r="A54" t="s">
        <v>489</v>
      </c>
      <c r="C54" s="22"/>
      <c r="D54" s="22"/>
      <c r="E54" s="22"/>
      <c r="F54" s="22"/>
      <c r="G54" s="22"/>
      <c r="H54" s="21"/>
      <c r="I54" s="21"/>
      <c r="J54" s="21"/>
      <c r="K54" s="21"/>
      <c r="L54" s="22"/>
    </row>
    <row r="55" spans="1:12" x14ac:dyDescent="0.25">
      <c r="A55" t="s">
        <v>18</v>
      </c>
      <c r="C55" s="22"/>
      <c r="D55" s="22"/>
      <c r="E55" s="22"/>
      <c r="F55" s="22"/>
      <c r="G55" s="22"/>
      <c r="H55" s="21"/>
      <c r="I55" s="21"/>
      <c r="J55" s="21"/>
      <c r="K55" s="21"/>
      <c r="L55" s="22"/>
    </row>
    <row r="56" spans="1:12" x14ac:dyDescent="0.25">
      <c r="A56" t="s">
        <v>2589</v>
      </c>
      <c r="B56" s="7" t="s">
        <v>489</v>
      </c>
      <c r="C56" s="22">
        <v>792</v>
      </c>
      <c r="D56" s="22">
        <v>882</v>
      </c>
      <c r="E56" s="22">
        <v>857</v>
      </c>
      <c r="F56" s="22">
        <v>1500</v>
      </c>
      <c r="G56" s="22">
        <v>830.89</v>
      </c>
      <c r="H56" s="21">
        <v>831</v>
      </c>
      <c r="I56" s="21"/>
      <c r="J56" s="21">
        <v>2500</v>
      </c>
      <c r="K56" s="21">
        <v>0</v>
      </c>
      <c r="L56" s="22">
        <f>SUM(J56+K56)</f>
        <v>2500</v>
      </c>
    </row>
    <row r="57" spans="1:12" x14ac:dyDescent="0.25">
      <c r="A57" t="s">
        <v>2590</v>
      </c>
      <c r="B57" s="7" t="s">
        <v>1252</v>
      </c>
      <c r="C57" s="22">
        <v>33</v>
      </c>
      <c r="D57" s="22">
        <v>538</v>
      </c>
      <c r="E57" s="22">
        <v>884</v>
      </c>
      <c r="F57" s="22">
        <v>750</v>
      </c>
      <c r="G57" s="22">
        <v>1015.63</v>
      </c>
      <c r="H57" s="21">
        <v>1300</v>
      </c>
      <c r="I57" s="21"/>
      <c r="J57" s="21">
        <v>1000</v>
      </c>
      <c r="K57" s="21">
        <v>0</v>
      </c>
      <c r="L57" s="22">
        <f t="shared" ref="L57:L61" si="4">SUM(J57+K57)</f>
        <v>1000</v>
      </c>
    </row>
    <row r="58" spans="1:12" x14ac:dyDescent="0.25">
      <c r="A58" t="s">
        <v>2591</v>
      </c>
      <c r="B58" s="7" t="s">
        <v>496</v>
      </c>
      <c r="C58" s="22">
        <v>6264</v>
      </c>
      <c r="D58" s="22">
        <v>508</v>
      </c>
      <c r="E58" s="22">
        <v>1058</v>
      </c>
      <c r="F58" s="22">
        <v>3000</v>
      </c>
      <c r="G58" s="22">
        <v>1039.3699999999999</v>
      </c>
      <c r="H58" s="21">
        <v>1500</v>
      </c>
      <c r="I58" s="21"/>
      <c r="J58" s="21">
        <v>6000</v>
      </c>
      <c r="K58" s="21">
        <v>0</v>
      </c>
      <c r="L58" s="22">
        <f t="shared" si="4"/>
        <v>6000</v>
      </c>
    </row>
    <row r="59" spans="1:12" x14ac:dyDescent="0.25">
      <c r="A59" t="s">
        <v>2592</v>
      </c>
      <c r="B59" s="7" t="s">
        <v>1259</v>
      </c>
      <c r="C59" s="22">
        <v>15689</v>
      </c>
      <c r="D59" s="22">
        <v>17883</v>
      </c>
      <c r="E59" s="22">
        <v>1214</v>
      </c>
      <c r="F59" s="22">
        <v>15000</v>
      </c>
      <c r="G59" s="22">
        <v>0</v>
      </c>
      <c r="H59" s="21">
        <v>0</v>
      </c>
      <c r="I59" s="21"/>
      <c r="J59" s="21">
        <v>5000</v>
      </c>
      <c r="K59" s="21">
        <v>0</v>
      </c>
      <c r="L59" s="22">
        <f t="shared" si="4"/>
        <v>5000</v>
      </c>
    </row>
    <row r="60" spans="1:12" hidden="1" x14ac:dyDescent="0.25">
      <c r="A60" t="s">
        <v>2593</v>
      </c>
      <c r="B60" s="7" t="s">
        <v>498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1">
        <v>0</v>
      </c>
      <c r="I60" s="21"/>
      <c r="J60" s="21">
        <v>0</v>
      </c>
      <c r="K60" s="21">
        <v>0</v>
      </c>
      <c r="L60" s="22">
        <f t="shared" si="4"/>
        <v>0</v>
      </c>
    </row>
    <row r="61" spans="1:12" hidden="1" x14ac:dyDescent="0.25">
      <c r="A61" t="s">
        <v>2594</v>
      </c>
      <c r="B61" s="7" t="s">
        <v>500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1">
        <v>0</v>
      </c>
      <c r="I61" s="21"/>
      <c r="J61" s="21">
        <v>0</v>
      </c>
      <c r="K61" s="21">
        <v>0</v>
      </c>
      <c r="L61" s="22">
        <f t="shared" si="4"/>
        <v>0</v>
      </c>
    </row>
    <row r="62" spans="1:12" x14ac:dyDescent="0.25">
      <c r="C62" s="22"/>
      <c r="D62" s="22"/>
      <c r="E62" s="22"/>
      <c r="F62" s="22"/>
      <c r="G62" s="22"/>
      <c r="H62" s="21"/>
      <c r="I62" s="21"/>
      <c r="J62" s="21"/>
      <c r="K62" s="21"/>
      <c r="L62" s="22"/>
    </row>
    <row r="63" spans="1:12" x14ac:dyDescent="0.25">
      <c r="C63" s="22"/>
      <c r="D63" s="22"/>
      <c r="E63" s="22"/>
      <c r="F63" s="22"/>
      <c r="G63" s="22"/>
      <c r="H63" s="21"/>
      <c r="I63" s="21"/>
      <c r="J63" s="21"/>
      <c r="K63" s="21"/>
      <c r="L63" s="22"/>
    </row>
    <row r="64" spans="1:12" x14ac:dyDescent="0.25">
      <c r="A64" t="s">
        <v>109</v>
      </c>
      <c r="C64" s="22"/>
      <c r="D64" s="22"/>
      <c r="E64" s="22"/>
      <c r="F64" s="22"/>
      <c r="G64" s="22"/>
      <c r="H64" s="21"/>
      <c r="I64" s="21"/>
      <c r="J64" s="21"/>
      <c r="K64" s="21"/>
      <c r="L64" s="22"/>
    </row>
    <row r="65" spans="1:12" x14ac:dyDescent="0.25">
      <c r="B65" t="s">
        <v>489</v>
      </c>
      <c r="C65" s="20">
        <f t="shared" ref="C65:H65" si="5">SUM(C56:C61)</f>
        <v>22778</v>
      </c>
      <c r="D65" s="20">
        <f t="shared" si="5"/>
        <v>19811</v>
      </c>
      <c r="E65" s="20">
        <f t="shared" si="5"/>
        <v>4013</v>
      </c>
      <c r="F65" s="20">
        <f t="shared" si="5"/>
        <v>20250</v>
      </c>
      <c r="G65" s="20">
        <f t="shared" si="5"/>
        <v>2885.89</v>
      </c>
      <c r="H65" s="20">
        <f t="shared" si="5"/>
        <v>3631</v>
      </c>
      <c r="I65" s="20"/>
      <c r="J65" s="20">
        <f>SUM(J56:J61)</f>
        <v>14500</v>
      </c>
      <c r="K65" s="20">
        <f>SUM(K56:K61)</f>
        <v>0</v>
      </c>
      <c r="L65" s="20">
        <f>SUM(L56:L61)</f>
        <v>14500</v>
      </c>
    </row>
    <row r="66" spans="1:12" x14ac:dyDescent="0.25">
      <c r="C66" s="22"/>
      <c r="D66" s="22"/>
      <c r="E66" s="22"/>
      <c r="F66" s="22"/>
      <c r="G66" s="22"/>
      <c r="H66" s="21"/>
      <c r="I66" s="21"/>
      <c r="J66" s="21"/>
      <c r="K66" s="21"/>
      <c r="L66" s="22"/>
    </row>
    <row r="67" spans="1:12" x14ac:dyDescent="0.25">
      <c r="A67" t="s">
        <v>501</v>
      </c>
      <c r="C67" s="22"/>
      <c r="D67" s="22"/>
      <c r="E67" s="22"/>
      <c r="F67" s="22"/>
      <c r="G67" s="22"/>
      <c r="H67" s="21"/>
      <c r="I67" s="21"/>
      <c r="J67" s="21"/>
      <c r="K67" s="21"/>
      <c r="L67" s="22"/>
    </row>
    <row r="68" spans="1:12" x14ac:dyDescent="0.25">
      <c r="A68" t="s">
        <v>18</v>
      </c>
      <c r="C68" s="22"/>
      <c r="D68" s="22"/>
      <c r="E68" s="22"/>
      <c r="F68" s="22"/>
      <c r="G68" s="22"/>
      <c r="H68" s="21"/>
      <c r="I68" s="21"/>
      <c r="J68" s="21"/>
      <c r="K68" s="21"/>
      <c r="L68" s="22"/>
    </row>
    <row r="69" spans="1:12" x14ac:dyDescent="0.25">
      <c r="A69" t="s">
        <v>2595</v>
      </c>
      <c r="B69" s="7" t="s">
        <v>509</v>
      </c>
      <c r="C69" s="22">
        <v>68896</v>
      </c>
      <c r="D69" s="22">
        <v>9335</v>
      </c>
      <c r="E69" s="22">
        <v>4531</v>
      </c>
      <c r="F69" s="22">
        <v>15000</v>
      </c>
      <c r="G69" s="22">
        <v>0</v>
      </c>
      <c r="H69" s="21">
        <v>0</v>
      </c>
      <c r="I69" s="21"/>
      <c r="J69" s="21">
        <v>15000</v>
      </c>
      <c r="K69" s="21">
        <v>0</v>
      </c>
      <c r="L69" s="22">
        <f>SUM(J69+K69)</f>
        <v>15000</v>
      </c>
    </row>
    <row r="70" spans="1:12" x14ac:dyDescent="0.25">
      <c r="A70" t="s">
        <v>2596</v>
      </c>
      <c r="B70" s="7" t="s">
        <v>519</v>
      </c>
      <c r="C70" s="22">
        <v>0</v>
      </c>
      <c r="D70" s="22">
        <v>2588</v>
      </c>
      <c r="E70" s="22">
        <v>3409</v>
      </c>
      <c r="F70" s="22">
        <v>4000</v>
      </c>
      <c r="G70" s="22">
        <v>212</v>
      </c>
      <c r="H70" s="21">
        <v>750</v>
      </c>
      <c r="I70" s="21"/>
      <c r="J70" s="21">
        <v>2000</v>
      </c>
      <c r="K70" s="21">
        <v>0</v>
      </c>
      <c r="L70" s="22">
        <f t="shared" ref="L70:L71" si="6">SUM(J70+K70)</f>
        <v>2000</v>
      </c>
    </row>
    <row r="71" spans="1:12" x14ac:dyDescent="0.25">
      <c r="A71" t="s">
        <v>2597</v>
      </c>
      <c r="B71" s="7" t="s">
        <v>521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1">
        <v>0</v>
      </c>
      <c r="I71" s="21"/>
      <c r="J71" s="21">
        <v>0</v>
      </c>
      <c r="K71" s="21">
        <v>0</v>
      </c>
      <c r="L71" s="22">
        <f t="shared" si="6"/>
        <v>0</v>
      </c>
    </row>
    <row r="72" spans="1:12" x14ac:dyDescent="0.25">
      <c r="C72" s="22"/>
      <c r="D72" s="22"/>
      <c r="E72" s="22"/>
      <c r="F72" s="22"/>
      <c r="G72" s="22"/>
      <c r="H72" s="21"/>
      <c r="I72" s="21"/>
      <c r="J72" s="21"/>
      <c r="K72" s="21"/>
      <c r="L72" s="22"/>
    </row>
    <row r="73" spans="1:12" x14ac:dyDescent="0.25">
      <c r="C73" s="22"/>
      <c r="D73" s="22"/>
      <c r="E73" s="22"/>
      <c r="F73" s="22"/>
      <c r="G73" s="22"/>
      <c r="H73" s="21"/>
      <c r="I73" s="21"/>
      <c r="J73" s="21"/>
      <c r="K73" s="21"/>
      <c r="L73" s="22"/>
    </row>
    <row r="74" spans="1:12" x14ac:dyDescent="0.25">
      <c r="A74" t="s">
        <v>109</v>
      </c>
      <c r="C74" s="22"/>
      <c r="D74" s="22"/>
      <c r="E74" s="22"/>
      <c r="F74" s="22"/>
      <c r="G74" s="22"/>
      <c r="H74" s="21"/>
      <c r="I74" s="21"/>
      <c r="J74" s="21"/>
      <c r="K74" s="21"/>
      <c r="L74" s="22"/>
    </row>
    <row r="75" spans="1:12" x14ac:dyDescent="0.25">
      <c r="B75" t="s">
        <v>501</v>
      </c>
      <c r="C75" s="20">
        <f t="shared" ref="C75:H75" si="7">SUM(C69:C71)</f>
        <v>68896</v>
      </c>
      <c r="D75" s="20">
        <f t="shared" si="7"/>
        <v>11923</v>
      </c>
      <c r="E75" s="20">
        <f t="shared" si="7"/>
        <v>7940</v>
      </c>
      <c r="F75" s="20">
        <f t="shared" si="7"/>
        <v>19000</v>
      </c>
      <c r="G75" s="20">
        <f t="shared" si="7"/>
        <v>212</v>
      </c>
      <c r="H75" s="20">
        <f t="shared" si="7"/>
        <v>750</v>
      </c>
      <c r="I75" s="20"/>
      <c r="J75" s="20">
        <f>SUM(J69:J71)</f>
        <v>17000</v>
      </c>
      <c r="K75" s="20">
        <f>SUM(K69:K71)</f>
        <v>0</v>
      </c>
      <c r="L75" s="20">
        <f>SUM(L69:L71)</f>
        <v>17000</v>
      </c>
    </row>
    <row r="76" spans="1:12" x14ac:dyDescent="0.25">
      <c r="C76" s="22"/>
      <c r="D76" s="22"/>
      <c r="E76" s="22"/>
      <c r="F76" s="22"/>
      <c r="G76" s="22"/>
      <c r="H76" s="21"/>
      <c r="I76" s="21"/>
      <c r="J76" s="21"/>
      <c r="K76" s="21"/>
      <c r="L76" s="22"/>
    </row>
    <row r="77" spans="1:12" x14ac:dyDescent="0.25">
      <c r="A77" t="s">
        <v>530</v>
      </c>
      <c r="C77" s="22"/>
      <c r="D77" s="22"/>
      <c r="E77" s="22"/>
      <c r="F77" s="22"/>
      <c r="G77" s="22"/>
      <c r="H77" s="21"/>
      <c r="I77" s="21"/>
      <c r="J77" s="21"/>
      <c r="K77" s="21"/>
      <c r="L77" s="22"/>
    </row>
    <row r="78" spans="1:12" x14ac:dyDescent="0.25">
      <c r="A78" t="s">
        <v>18</v>
      </c>
      <c r="B78" s="7" t="s">
        <v>526</v>
      </c>
      <c r="C78" s="22"/>
      <c r="D78" s="22"/>
      <c r="E78" s="22"/>
      <c r="F78" s="22"/>
      <c r="G78" s="22"/>
      <c r="H78" s="21"/>
      <c r="I78" s="21"/>
      <c r="J78" s="21"/>
      <c r="K78" s="21"/>
      <c r="L78" s="22"/>
    </row>
    <row r="79" spans="1:12" x14ac:dyDescent="0.25">
      <c r="A79" t="s">
        <v>2598</v>
      </c>
      <c r="B79" s="7" t="s">
        <v>2599</v>
      </c>
      <c r="C79" s="22">
        <v>0</v>
      </c>
      <c r="D79" s="22">
        <v>0</v>
      </c>
      <c r="E79" s="22">
        <v>0</v>
      </c>
      <c r="F79" s="22">
        <v>999999</v>
      </c>
      <c r="G79" s="22">
        <v>184770</v>
      </c>
      <c r="H79" s="21">
        <v>184770</v>
      </c>
      <c r="I79" s="21"/>
      <c r="J79" s="21">
        <v>1095</v>
      </c>
      <c r="K79" s="21">
        <v>0</v>
      </c>
      <c r="L79" s="22">
        <f>SUM(J79+K79)</f>
        <v>1095</v>
      </c>
    </row>
    <row r="80" spans="1:12" x14ac:dyDescent="0.25">
      <c r="A80" t="s">
        <v>2600</v>
      </c>
      <c r="B80" s="7" t="s">
        <v>1282</v>
      </c>
      <c r="C80" s="22">
        <v>0</v>
      </c>
      <c r="D80" s="22">
        <v>0</v>
      </c>
      <c r="E80" s="22">
        <v>46300</v>
      </c>
      <c r="F80" s="22">
        <v>0</v>
      </c>
      <c r="G80" s="22">
        <v>0</v>
      </c>
      <c r="H80" s="21">
        <v>0</v>
      </c>
      <c r="I80" s="21"/>
      <c r="J80" s="21">
        <v>0</v>
      </c>
      <c r="K80" s="21">
        <v>0</v>
      </c>
      <c r="L80" s="22">
        <f t="shared" ref="L80:L81" si="8">SUM(J80+K80)</f>
        <v>0</v>
      </c>
    </row>
    <row r="81" spans="1:12" x14ac:dyDescent="0.25">
      <c r="A81" t="s">
        <v>2601</v>
      </c>
      <c r="B81" s="7" t="s">
        <v>660</v>
      </c>
      <c r="C81" s="22">
        <v>0</v>
      </c>
      <c r="D81" s="22">
        <v>0</v>
      </c>
      <c r="E81" s="22">
        <v>189510</v>
      </c>
      <c r="F81" s="22">
        <v>0</v>
      </c>
      <c r="G81" s="22">
        <v>0</v>
      </c>
      <c r="H81" s="21">
        <v>0</v>
      </c>
      <c r="I81" s="21"/>
      <c r="J81" s="21">
        <v>0</v>
      </c>
      <c r="K81" s="21">
        <v>0</v>
      </c>
      <c r="L81" s="22">
        <f t="shared" si="8"/>
        <v>0</v>
      </c>
    </row>
    <row r="82" spans="1:12" x14ac:dyDescent="0.25">
      <c r="C82" s="22"/>
      <c r="D82" s="22"/>
      <c r="E82" s="22"/>
      <c r="F82" s="22"/>
      <c r="G82" s="22"/>
      <c r="H82" s="21"/>
      <c r="I82" s="21"/>
      <c r="J82" s="21"/>
      <c r="K82" s="21"/>
      <c r="L82" s="22"/>
    </row>
    <row r="83" spans="1:12" x14ac:dyDescent="0.25">
      <c r="C83" s="22"/>
      <c r="D83" s="22"/>
      <c r="E83" s="22"/>
      <c r="F83" s="22"/>
      <c r="G83" s="22"/>
      <c r="H83" s="21"/>
      <c r="I83" s="21"/>
      <c r="J83" s="21"/>
      <c r="K83" s="21"/>
      <c r="L83" s="22"/>
    </row>
    <row r="84" spans="1:12" x14ac:dyDescent="0.25">
      <c r="A84" t="s">
        <v>109</v>
      </c>
      <c r="C84" s="22"/>
      <c r="D84" s="22"/>
      <c r="E84" s="22"/>
      <c r="F84" s="22"/>
      <c r="G84" s="22"/>
      <c r="H84" s="21"/>
      <c r="I84" s="21"/>
      <c r="J84" s="21"/>
      <c r="K84" s="21"/>
      <c r="L84" s="22"/>
    </row>
    <row r="85" spans="1:12" x14ac:dyDescent="0.25">
      <c r="B85" t="s">
        <v>530</v>
      </c>
      <c r="C85" s="20">
        <f t="shared" ref="C85:H85" si="9">SUM(C79:C81)</f>
        <v>0</v>
      </c>
      <c r="D85" s="20">
        <f t="shared" si="9"/>
        <v>0</v>
      </c>
      <c r="E85" s="20">
        <f t="shared" si="9"/>
        <v>235810</v>
      </c>
      <c r="F85" s="20">
        <f t="shared" si="9"/>
        <v>999999</v>
      </c>
      <c r="G85" s="20">
        <f t="shared" si="9"/>
        <v>184770</v>
      </c>
      <c r="H85" s="20">
        <f t="shared" si="9"/>
        <v>184770</v>
      </c>
      <c r="I85" s="20"/>
      <c r="J85" s="20">
        <f>SUM(J79:J81)</f>
        <v>1095</v>
      </c>
      <c r="K85" s="20">
        <f>SUM(K79:K81)</f>
        <v>0</v>
      </c>
      <c r="L85" s="20">
        <f>SUM(L79:L81)</f>
        <v>1095</v>
      </c>
    </row>
    <row r="86" spans="1:12" x14ac:dyDescent="0.25">
      <c r="C86" s="22"/>
      <c r="D86" s="22"/>
      <c r="E86" s="22"/>
      <c r="F86" s="22"/>
      <c r="G86" s="22"/>
      <c r="H86" s="21"/>
      <c r="I86" s="21"/>
      <c r="J86" s="21"/>
      <c r="K86" s="21"/>
      <c r="L86" s="22"/>
    </row>
    <row r="87" spans="1:12" x14ac:dyDescent="0.25">
      <c r="C87" s="22"/>
      <c r="D87" s="22"/>
      <c r="E87" s="22"/>
      <c r="F87" s="22"/>
      <c r="G87" s="22"/>
      <c r="H87" s="21"/>
      <c r="I87" s="21"/>
      <c r="J87" s="21"/>
      <c r="K87" s="21"/>
      <c r="L87" s="22"/>
    </row>
    <row r="88" spans="1:12" x14ac:dyDescent="0.25">
      <c r="A88" t="s">
        <v>109</v>
      </c>
      <c r="C88" s="22"/>
      <c r="D88" s="22"/>
      <c r="E88" s="22"/>
      <c r="F88" s="22"/>
      <c r="G88" s="22"/>
      <c r="H88" s="21"/>
      <c r="I88" s="21"/>
      <c r="J88" s="21"/>
      <c r="K88" s="21"/>
      <c r="L88" s="22"/>
    </row>
    <row r="89" spans="1:12" x14ac:dyDescent="0.25">
      <c r="A89">
        <v>84</v>
      </c>
      <c r="B89" t="s">
        <v>3769</v>
      </c>
      <c r="C89" s="20">
        <f t="shared" ref="C89:H89" si="10">C34+C52+C65+C75+C85</f>
        <v>317491</v>
      </c>
      <c r="D89" s="20">
        <f t="shared" si="10"/>
        <v>238132</v>
      </c>
      <c r="E89" s="20">
        <f t="shared" si="10"/>
        <v>467540</v>
      </c>
      <c r="F89" s="20">
        <f t="shared" si="10"/>
        <v>1242540</v>
      </c>
      <c r="G89" s="20">
        <f t="shared" si="10"/>
        <v>328799.03000000003</v>
      </c>
      <c r="H89" s="20">
        <f t="shared" si="10"/>
        <v>341810</v>
      </c>
      <c r="I89" s="20"/>
      <c r="J89" s="20">
        <f>J34+J52+J65+J75+J85</f>
        <v>314135.40399999998</v>
      </c>
      <c r="K89" s="20">
        <f>K34+K52+K65+K75+K85</f>
        <v>0</v>
      </c>
      <c r="L89" s="20">
        <f>L34+L52+L65+L75+L85</f>
        <v>314135.40399999998</v>
      </c>
    </row>
    <row r="90" spans="1:12" x14ac:dyDescent="0.25">
      <c r="C90" s="22"/>
      <c r="D90" s="22"/>
      <c r="E90" s="22"/>
      <c r="F90" s="22"/>
      <c r="G90" s="22"/>
      <c r="H90" s="21"/>
      <c r="I90" s="21"/>
      <c r="J90" s="21"/>
      <c r="K90" s="21"/>
      <c r="L90" s="22"/>
    </row>
  </sheetData>
  <sheetProtection algorithmName="SHA-512" hashValue="MXvQpdLef01Jtn+UDujX3l80RoF4TWFzOyp6/VTroK+lbgbQloEGAYt0tetkD/AcZkcT0vRSE94Eshx5zjSEfQ==" saltValue="7hQbxhI6KoatFJO8kH/jWw==" spinCount="100000" sheet="1" insertRows="0"/>
  <pageMargins left="0.25" right="0.25" top="0.75" bottom="0.75" header="0.3" footer="0.3"/>
  <pageSetup scale="75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C724-911D-4DED-9BD0-1B48E07CB2F0}">
  <sheetPr>
    <pageSetUpPr fitToPage="1"/>
  </sheetPr>
  <dimension ref="A1:L62"/>
  <sheetViews>
    <sheetView zoomScaleNormal="100" workbookViewId="0">
      <selection activeCell="H11" sqref="H11"/>
    </sheetView>
  </sheetViews>
  <sheetFormatPr defaultRowHeight="15" x14ac:dyDescent="0.25"/>
  <cols>
    <col min="2" max="2" width="29" bestFit="1" customWidth="1"/>
    <col min="3" max="3" width="13.140625" style="12" bestFit="1" customWidth="1"/>
    <col min="4" max="4" width="14.85546875" style="12" bestFit="1" customWidth="1"/>
    <col min="5" max="5" width="13.85546875" style="12" bestFit="1" customWidth="1"/>
    <col min="6" max="6" width="14" style="12" bestFit="1" customWidth="1"/>
    <col min="7" max="7" width="12.7109375" style="12" bestFit="1" customWidth="1"/>
    <col min="8" max="8" width="13.140625" style="12" bestFit="1" customWidth="1"/>
    <col min="9" max="9" width="10.7109375" style="12" customWidth="1"/>
    <col min="10" max="10" width="13.140625" style="12" bestFit="1" customWidth="1"/>
    <col min="11" max="11" width="14.5703125" style="12" bestFit="1" customWidth="1"/>
    <col min="12" max="12" width="14" style="12" bestFit="1" customWidth="1"/>
  </cols>
  <sheetData>
    <row r="1" spans="1:12" x14ac:dyDescent="0.25">
      <c r="A1" t="s">
        <v>3770</v>
      </c>
    </row>
    <row r="2" spans="1:12" x14ac:dyDescent="0.25">
      <c r="A2" t="s">
        <v>1</v>
      </c>
    </row>
    <row r="3" spans="1:12" x14ac:dyDescent="0.25">
      <c r="F3" s="13" t="s">
        <v>2</v>
      </c>
      <c r="G3" s="14" t="s">
        <v>3410</v>
      </c>
      <c r="H3" s="12" t="s">
        <v>4</v>
      </c>
      <c r="J3" s="13" t="s">
        <v>3411</v>
      </c>
      <c r="K3" s="14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/>
      <c r="J4" s="14" t="s">
        <v>3414</v>
      </c>
      <c r="K4" s="14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4" t="s">
        <v>17</v>
      </c>
      <c r="I5" s="14"/>
      <c r="J5" s="14" t="s">
        <v>13</v>
      </c>
      <c r="K5" s="14" t="s">
        <v>3417</v>
      </c>
      <c r="L5" s="14" t="s">
        <v>13</v>
      </c>
    </row>
    <row r="6" spans="1:12" x14ac:dyDescent="0.25">
      <c r="A6" t="s">
        <v>18</v>
      </c>
      <c r="B6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2" t="s">
        <v>20</v>
      </c>
      <c r="J6" s="12" t="s">
        <v>24</v>
      </c>
      <c r="K6" s="12" t="s">
        <v>20</v>
      </c>
      <c r="L6" s="12" t="s">
        <v>20</v>
      </c>
    </row>
    <row r="8" spans="1:12" x14ac:dyDescent="0.25">
      <c r="A8" t="s">
        <v>3260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x14ac:dyDescent="0.25">
      <c r="A9" t="s">
        <v>18</v>
      </c>
      <c r="B9" t="s">
        <v>526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x14ac:dyDescent="0.25">
      <c r="A10" t="s">
        <v>3255</v>
      </c>
      <c r="B10" t="s">
        <v>62</v>
      </c>
      <c r="C10" s="22">
        <v>5088</v>
      </c>
      <c r="D10" s="22">
        <v>31925</v>
      </c>
      <c r="E10" s="22">
        <v>38458</v>
      </c>
      <c r="F10" s="22">
        <v>28802</v>
      </c>
      <c r="G10" s="22">
        <v>24805.53</v>
      </c>
      <c r="H10" s="21">
        <v>30000</v>
      </c>
      <c r="I10" s="21"/>
      <c r="J10" s="21">
        <v>29000</v>
      </c>
      <c r="K10" s="21">
        <v>0</v>
      </c>
      <c r="L10" s="22">
        <f>SUM(J10+K10)</f>
        <v>29000</v>
      </c>
    </row>
    <row r="11" spans="1:12" x14ac:dyDescent="0.25">
      <c r="A11" t="s">
        <v>3221</v>
      </c>
      <c r="B11" t="s">
        <v>3256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1">
        <v>0</v>
      </c>
      <c r="I11" s="21"/>
      <c r="J11" s="21">
        <v>0</v>
      </c>
      <c r="K11" s="21">
        <v>0</v>
      </c>
      <c r="L11" s="22">
        <f t="shared" ref="L11:L13" si="0">SUM(J11+K11)</f>
        <v>0</v>
      </c>
    </row>
    <row r="12" spans="1:12" x14ac:dyDescent="0.25">
      <c r="A12" t="s">
        <v>3257</v>
      </c>
      <c r="B12" t="s">
        <v>1656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1">
        <v>0</v>
      </c>
      <c r="I12" s="21"/>
      <c r="J12" s="21">
        <v>0</v>
      </c>
      <c r="K12" s="21">
        <v>0</v>
      </c>
      <c r="L12" s="22">
        <f t="shared" si="0"/>
        <v>0</v>
      </c>
    </row>
    <row r="13" spans="1:12" x14ac:dyDescent="0.25">
      <c r="A13" t="s">
        <v>3258</v>
      </c>
      <c r="B13" t="s">
        <v>3259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 t="shared" si="0"/>
        <v>0</v>
      </c>
    </row>
    <row r="14" spans="1:12" x14ac:dyDescent="0.25"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12" x14ac:dyDescent="0.25"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 x14ac:dyDescent="0.25">
      <c r="A16" t="s">
        <v>109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x14ac:dyDescent="0.25">
      <c r="B17" t="s">
        <v>3260</v>
      </c>
      <c r="C17" s="22">
        <f t="shared" ref="C17:H17" si="1">SUM(C10:C16)</f>
        <v>5088</v>
      </c>
      <c r="D17" s="22">
        <f t="shared" si="1"/>
        <v>31925</v>
      </c>
      <c r="E17" s="22">
        <f t="shared" si="1"/>
        <v>38458</v>
      </c>
      <c r="F17" s="22">
        <f t="shared" si="1"/>
        <v>28802</v>
      </c>
      <c r="G17" s="22">
        <f t="shared" si="1"/>
        <v>24805.53</v>
      </c>
      <c r="H17" s="22">
        <f t="shared" si="1"/>
        <v>30000</v>
      </c>
      <c r="I17" s="22"/>
      <c r="J17" s="22">
        <f>SUM(J10:J16)</f>
        <v>29000</v>
      </c>
      <c r="K17" s="22">
        <f>SUM(K10:K16)</f>
        <v>0</v>
      </c>
      <c r="L17" s="22">
        <f>SUM(L10:L16)</f>
        <v>29000</v>
      </c>
    </row>
    <row r="18" spans="1:12" x14ac:dyDescent="0.25"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x14ac:dyDescent="0.25"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5"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x14ac:dyDescent="0.25">
      <c r="A21" t="s">
        <v>3542</v>
      </c>
      <c r="C21" s="22">
        <f t="shared" ref="C21:H21" si="2">C17</f>
        <v>5088</v>
      </c>
      <c r="D21" s="22">
        <f t="shared" si="2"/>
        <v>31925</v>
      </c>
      <c r="E21" s="22">
        <f t="shared" si="2"/>
        <v>38458</v>
      </c>
      <c r="F21" s="22">
        <f t="shared" si="2"/>
        <v>28802</v>
      </c>
      <c r="G21" s="22">
        <f t="shared" si="2"/>
        <v>24805.53</v>
      </c>
      <c r="H21" s="22">
        <f t="shared" si="2"/>
        <v>30000</v>
      </c>
      <c r="I21" s="22"/>
      <c r="J21" s="22">
        <f>J17</f>
        <v>29000</v>
      </c>
      <c r="K21" s="22">
        <f>K17</f>
        <v>0</v>
      </c>
      <c r="L21" s="22">
        <f>L17</f>
        <v>29000</v>
      </c>
    </row>
    <row r="22" spans="1:12" x14ac:dyDescent="0.25"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5">
      <c r="A23" t="s">
        <v>3770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25">
      <c r="A24" t="s">
        <v>386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x14ac:dyDescent="0.25"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x14ac:dyDescent="0.25">
      <c r="A26" t="s">
        <v>478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x14ac:dyDescent="0.25">
      <c r="A27" t="s">
        <v>18</v>
      </c>
      <c r="B27" t="s">
        <v>21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" x14ac:dyDescent="0.25">
      <c r="A28" t="s">
        <v>2187</v>
      </c>
      <c r="B28" t="s">
        <v>475</v>
      </c>
      <c r="C28" s="22">
        <v>0</v>
      </c>
      <c r="D28" s="22">
        <v>3150</v>
      </c>
      <c r="E28" s="22">
        <v>1235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ref="L28" si="3">SUM(J28+K28)</f>
        <v>0</v>
      </c>
    </row>
    <row r="29" spans="1:12" x14ac:dyDescent="0.25"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x14ac:dyDescent="0.25"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x14ac:dyDescent="0.25">
      <c r="A31" t="s">
        <v>109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x14ac:dyDescent="0.25">
      <c r="B32" t="s">
        <v>478</v>
      </c>
      <c r="C32" s="22">
        <f t="shared" ref="C32:H32" si="4">C28</f>
        <v>0</v>
      </c>
      <c r="D32" s="22">
        <f t="shared" si="4"/>
        <v>3150</v>
      </c>
      <c r="E32" s="22">
        <f t="shared" si="4"/>
        <v>1235</v>
      </c>
      <c r="F32" s="22">
        <f t="shared" si="4"/>
        <v>0</v>
      </c>
      <c r="G32" s="22">
        <f t="shared" si="4"/>
        <v>0</v>
      </c>
      <c r="H32" s="22">
        <f t="shared" si="4"/>
        <v>0</v>
      </c>
      <c r="I32" s="22"/>
      <c r="J32" s="22">
        <f>J28</f>
        <v>0</v>
      </c>
      <c r="K32" s="22">
        <f>K28</f>
        <v>0</v>
      </c>
      <c r="L32" s="22">
        <f>L28</f>
        <v>0</v>
      </c>
    </row>
    <row r="33" spans="1:12" x14ac:dyDescent="0.25"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x14ac:dyDescent="0.25">
      <c r="A34" t="s">
        <v>501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5">
      <c r="A35" t="s">
        <v>18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25">
      <c r="A36" t="s">
        <v>2208</v>
      </c>
      <c r="B36" t="s">
        <v>519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1">
        <v>0</v>
      </c>
      <c r="I36" s="21"/>
      <c r="J36" s="21">
        <v>0</v>
      </c>
      <c r="K36" s="21">
        <v>0</v>
      </c>
      <c r="L36" s="22">
        <f>J36+K36</f>
        <v>0</v>
      </c>
    </row>
    <row r="37" spans="1:12" x14ac:dyDescent="0.25"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5"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5">
      <c r="A39" t="s">
        <v>109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5">
      <c r="B40" t="s">
        <v>501</v>
      </c>
      <c r="C40" s="22">
        <f t="shared" ref="C40:H40" si="5">C36</f>
        <v>0</v>
      </c>
      <c r="D40" s="22">
        <f t="shared" si="5"/>
        <v>0</v>
      </c>
      <c r="E40" s="22">
        <f t="shared" si="5"/>
        <v>0</v>
      </c>
      <c r="F40" s="22">
        <f t="shared" si="5"/>
        <v>0</v>
      </c>
      <c r="G40" s="22">
        <f t="shared" si="5"/>
        <v>0</v>
      </c>
      <c r="H40" s="22">
        <f t="shared" si="5"/>
        <v>0</v>
      </c>
      <c r="I40" s="22"/>
      <c r="J40" s="22">
        <f>J36</f>
        <v>0</v>
      </c>
      <c r="K40" s="22">
        <f>K36</f>
        <v>0</v>
      </c>
      <c r="L40" s="22">
        <f>L36</f>
        <v>0</v>
      </c>
    </row>
    <row r="41" spans="1:12" x14ac:dyDescent="0.25"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5">
      <c r="A42" t="s">
        <v>530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5">
      <c r="A43" t="s">
        <v>18</v>
      </c>
      <c r="B43" t="s">
        <v>526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5">
      <c r="A44" t="s">
        <v>3261</v>
      </c>
      <c r="B44" t="s">
        <v>3262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1">
        <v>0</v>
      </c>
      <c r="I44" s="21"/>
      <c r="J44" s="21">
        <v>0</v>
      </c>
      <c r="K44" s="21">
        <v>0</v>
      </c>
      <c r="L44" s="22">
        <f>J44+K44</f>
        <v>0</v>
      </c>
    </row>
    <row r="45" spans="1:12" x14ac:dyDescent="0.25">
      <c r="A45" t="s">
        <v>3263</v>
      </c>
      <c r="B45" t="s">
        <v>3264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1">
        <v>0</v>
      </c>
      <c r="I45" s="21"/>
      <c r="J45" s="21">
        <v>0</v>
      </c>
      <c r="K45" s="21">
        <v>0</v>
      </c>
      <c r="L45" s="22">
        <f>J45+K45</f>
        <v>0</v>
      </c>
    </row>
    <row r="46" spans="1:12" x14ac:dyDescent="0.25"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x14ac:dyDescent="0.25"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x14ac:dyDescent="0.25">
      <c r="A48" t="s">
        <v>109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x14ac:dyDescent="0.25">
      <c r="B49" t="s">
        <v>530</v>
      </c>
      <c r="C49" s="22">
        <f t="shared" ref="C49:H49" si="6">SUM(C44:C45)</f>
        <v>0</v>
      </c>
      <c r="D49" s="22">
        <f t="shared" si="6"/>
        <v>0</v>
      </c>
      <c r="E49" s="22">
        <f t="shared" si="6"/>
        <v>0</v>
      </c>
      <c r="F49" s="22">
        <f t="shared" si="6"/>
        <v>0</v>
      </c>
      <c r="G49" s="22">
        <f t="shared" si="6"/>
        <v>0</v>
      </c>
      <c r="H49" s="22">
        <f t="shared" si="6"/>
        <v>0</v>
      </c>
      <c r="I49" s="22"/>
      <c r="J49" s="22">
        <f>SUM(J44:J45)</f>
        <v>0</v>
      </c>
      <c r="K49" s="22">
        <f>SUM(K44:K45)</f>
        <v>0</v>
      </c>
      <c r="L49" s="22">
        <f>SUM(L44:L45)</f>
        <v>0</v>
      </c>
    </row>
    <row r="50" spans="1:12" x14ac:dyDescent="0.25"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1:12" x14ac:dyDescent="0.25"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1:12" x14ac:dyDescent="0.25">
      <c r="A52" t="s">
        <v>109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x14ac:dyDescent="0.25">
      <c r="A53">
        <v>43</v>
      </c>
      <c r="B53" t="s">
        <v>179</v>
      </c>
      <c r="C53" s="22">
        <f t="shared" ref="C53:H53" si="7">C32+C40+C49</f>
        <v>0</v>
      </c>
      <c r="D53" s="22">
        <f t="shared" si="7"/>
        <v>3150</v>
      </c>
      <c r="E53" s="22">
        <f t="shared" si="7"/>
        <v>1235</v>
      </c>
      <c r="F53" s="22">
        <f t="shared" si="7"/>
        <v>0</v>
      </c>
      <c r="G53" s="22">
        <f t="shared" si="7"/>
        <v>0</v>
      </c>
      <c r="H53" s="22">
        <f t="shared" si="7"/>
        <v>0</v>
      </c>
      <c r="I53" s="22"/>
      <c r="J53" s="22">
        <f>J32+J40+J49</f>
        <v>0</v>
      </c>
      <c r="K53" s="22">
        <f>K32+K40+K49</f>
        <v>0</v>
      </c>
      <c r="L53" s="22">
        <f>L32+L40+L49</f>
        <v>0</v>
      </c>
    </row>
    <row r="54" spans="1:12" x14ac:dyDescent="0.25"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x14ac:dyDescent="0.25"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x14ac:dyDescent="0.25"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x14ac:dyDescent="0.25">
      <c r="A57" t="s">
        <v>3717</v>
      </c>
      <c r="C57" s="22">
        <f t="shared" ref="C57:H57" si="8">C53</f>
        <v>0</v>
      </c>
      <c r="D57" s="22">
        <f t="shared" si="8"/>
        <v>3150</v>
      </c>
      <c r="E57" s="22">
        <f t="shared" si="8"/>
        <v>1235</v>
      </c>
      <c r="F57" s="22">
        <f t="shared" si="8"/>
        <v>0</v>
      </c>
      <c r="G57" s="22">
        <f t="shared" si="8"/>
        <v>0</v>
      </c>
      <c r="H57" s="22">
        <f t="shared" si="8"/>
        <v>0</v>
      </c>
      <c r="I57" s="22"/>
      <c r="J57" s="22">
        <f>J53</f>
        <v>0</v>
      </c>
      <c r="K57" s="22">
        <f>K53</f>
        <v>0</v>
      </c>
      <c r="L57" s="22">
        <f>L53</f>
        <v>0</v>
      </c>
    </row>
    <row r="58" spans="1:12" x14ac:dyDescent="0.25"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x14ac:dyDescent="0.25">
      <c r="A59" t="s">
        <v>3720</v>
      </c>
      <c r="C59" s="22">
        <f t="shared" ref="C59:H59" si="9">C21-C57</f>
        <v>5088</v>
      </c>
      <c r="D59" s="22">
        <f t="shared" si="9"/>
        <v>28775</v>
      </c>
      <c r="E59" s="22">
        <f t="shared" si="9"/>
        <v>37223</v>
      </c>
      <c r="F59" s="22">
        <f t="shared" si="9"/>
        <v>28802</v>
      </c>
      <c r="G59" s="22">
        <f t="shared" si="9"/>
        <v>24805.53</v>
      </c>
      <c r="H59" s="22">
        <f t="shared" si="9"/>
        <v>30000</v>
      </c>
      <c r="I59" s="22"/>
      <c r="J59" s="22">
        <f>J21-J57</f>
        <v>29000</v>
      </c>
      <c r="K59" s="22">
        <f>K21-K57</f>
        <v>0</v>
      </c>
      <c r="L59" s="22">
        <f>L21-L57</f>
        <v>29000</v>
      </c>
    </row>
    <row r="60" spans="1:12" x14ac:dyDescent="0.25"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12" x14ac:dyDescent="0.25"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1:12" x14ac:dyDescent="0.25">
      <c r="C62" s="22"/>
      <c r="D62" s="22"/>
      <c r="E62" s="22"/>
      <c r="F62" s="22"/>
      <c r="G62" s="22"/>
      <c r="H62" s="22"/>
      <c r="I62" s="22"/>
      <c r="J62" s="22"/>
      <c r="K62" s="22"/>
      <c r="L62" s="22"/>
    </row>
  </sheetData>
  <sheetProtection algorithmName="SHA-512" hashValue="mio9PN4hqVOPWq+D4ghQpdfhD82GHo0ZAKlhCQEgRr3w4Xr93dVil9xaXw7KJKZFeRSNWkNDJuKRL+XOJOcs/w==" saltValue="RVZLVSEswHl0pOqCm7mfLg==" spinCount="100000" sheet="1" objects="1" scenarios="1" insertRows="0"/>
  <pageMargins left="0.25" right="0.25" top="0.75" bottom="0.75" header="0.3" footer="0.3"/>
  <pageSetup scale="77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084B5-6B41-4486-AA8E-32CE75B9C8AC}">
  <sheetPr>
    <pageSetUpPr fitToPage="1"/>
  </sheetPr>
  <dimension ref="A1:L119"/>
  <sheetViews>
    <sheetView zoomScaleNormal="100" workbookViewId="0">
      <selection activeCell="J71" sqref="J71"/>
    </sheetView>
  </sheetViews>
  <sheetFormatPr defaultRowHeight="15" x14ac:dyDescent="0.25"/>
  <cols>
    <col min="1" max="1" width="10" bestFit="1" customWidth="1"/>
    <col min="2" max="2" width="32.7109375" bestFit="1" customWidth="1"/>
    <col min="3" max="3" width="14.28515625" style="12" bestFit="1" customWidth="1"/>
    <col min="4" max="4" width="15" style="12" bestFit="1" customWidth="1"/>
    <col min="5" max="6" width="14.28515625" style="12" bestFit="1" customWidth="1"/>
    <col min="7" max="7" width="12.85546875" style="12" bestFit="1" customWidth="1"/>
    <col min="8" max="8" width="13.28515625" style="12" bestFit="1" customWidth="1"/>
    <col min="9" max="9" width="12.140625" style="12" bestFit="1" customWidth="1"/>
    <col min="10" max="10" width="13.28515625" style="12" bestFit="1" customWidth="1"/>
    <col min="11" max="11" width="14.7109375" style="12" bestFit="1" customWidth="1"/>
    <col min="12" max="12" width="14.140625" style="12" bestFit="1" customWidth="1"/>
  </cols>
  <sheetData>
    <row r="1" spans="1:12" x14ac:dyDescent="0.25">
      <c r="A1" t="s">
        <v>3771</v>
      </c>
    </row>
    <row r="2" spans="1:12" x14ac:dyDescent="0.25">
      <c r="A2" t="s">
        <v>1</v>
      </c>
    </row>
    <row r="3" spans="1:12" x14ac:dyDescent="0.25">
      <c r="F3" s="13" t="s">
        <v>2</v>
      </c>
      <c r="G3" s="14" t="s">
        <v>3410</v>
      </c>
      <c r="H3" s="12" t="s">
        <v>4</v>
      </c>
      <c r="J3" s="13" t="s">
        <v>3411</v>
      </c>
      <c r="K3" s="14" t="s">
        <v>3412</v>
      </c>
      <c r="L3" s="17" t="s">
        <v>3413</v>
      </c>
    </row>
    <row r="4" spans="1:12" x14ac:dyDescent="0.25"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/>
      <c r="J4" s="14" t="s">
        <v>3414</v>
      </c>
      <c r="K4" s="14" t="s">
        <v>3415</v>
      </c>
      <c r="L4" s="14" t="s">
        <v>3416</v>
      </c>
    </row>
    <row r="5" spans="1:12" x14ac:dyDescent="0.25">
      <c r="C5" s="14" t="s">
        <v>15</v>
      </c>
      <c r="D5" s="14" t="s">
        <v>15</v>
      </c>
      <c r="E5" s="14" t="s">
        <v>15</v>
      </c>
      <c r="F5" s="14" t="s">
        <v>16</v>
      </c>
      <c r="G5" s="19">
        <v>45889</v>
      </c>
      <c r="H5" s="14" t="s">
        <v>17</v>
      </c>
      <c r="I5" s="14"/>
      <c r="J5" s="14" t="s">
        <v>13</v>
      </c>
      <c r="K5" s="14" t="s">
        <v>3417</v>
      </c>
      <c r="L5" s="14" t="s">
        <v>13</v>
      </c>
    </row>
    <row r="6" spans="1:12" x14ac:dyDescent="0.25">
      <c r="A6" t="s">
        <v>18</v>
      </c>
      <c r="B6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2" t="s">
        <v>20</v>
      </c>
      <c r="J6" s="12" t="s">
        <v>24</v>
      </c>
      <c r="K6" s="12" t="s">
        <v>20</v>
      </c>
      <c r="L6" s="12" t="s">
        <v>20</v>
      </c>
    </row>
    <row r="8" spans="1:12" x14ac:dyDescent="0.25">
      <c r="A8" t="s">
        <v>3219</v>
      </c>
    </row>
    <row r="9" spans="1:12" x14ac:dyDescent="0.25">
      <c r="A9" t="s">
        <v>18</v>
      </c>
      <c r="B9" t="s">
        <v>23</v>
      </c>
    </row>
    <row r="10" spans="1:12" x14ac:dyDescent="0.25">
      <c r="A10" t="s">
        <v>1914</v>
      </c>
      <c r="B10" t="s">
        <v>3218</v>
      </c>
      <c r="C10" s="22">
        <v>78201</v>
      </c>
      <c r="D10" s="22">
        <v>369812</v>
      </c>
      <c r="E10" s="22">
        <v>494705</v>
      </c>
      <c r="F10" s="22">
        <v>366083</v>
      </c>
      <c r="G10" s="22">
        <v>345008.36</v>
      </c>
      <c r="H10" s="21">
        <v>430000</v>
      </c>
      <c r="I10" s="21"/>
      <c r="J10" s="21">
        <v>415000</v>
      </c>
      <c r="K10" s="21">
        <v>0</v>
      </c>
      <c r="L10" s="22">
        <f>J10+K10</f>
        <v>415000</v>
      </c>
    </row>
    <row r="11" spans="1:12" x14ac:dyDescent="0.25"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x14ac:dyDescent="0.25"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x14ac:dyDescent="0.25">
      <c r="A13" t="s">
        <v>109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2" x14ac:dyDescent="0.25">
      <c r="B14" t="s">
        <v>3219</v>
      </c>
      <c r="C14" s="22">
        <f t="shared" ref="C14:H14" si="0">C10</f>
        <v>78201</v>
      </c>
      <c r="D14" s="22">
        <f t="shared" si="0"/>
        <v>369812</v>
      </c>
      <c r="E14" s="22">
        <f t="shared" si="0"/>
        <v>494705</v>
      </c>
      <c r="F14" s="22">
        <f t="shared" si="0"/>
        <v>366083</v>
      </c>
      <c r="G14" s="22">
        <f t="shared" si="0"/>
        <v>345008.36</v>
      </c>
      <c r="H14" s="22">
        <f t="shared" si="0"/>
        <v>430000</v>
      </c>
      <c r="I14" s="22"/>
      <c r="J14" s="22">
        <f>J10</f>
        <v>415000</v>
      </c>
      <c r="K14" s="22">
        <f>K10</f>
        <v>0</v>
      </c>
      <c r="L14" s="22">
        <f>L10</f>
        <v>415000</v>
      </c>
    </row>
    <row r="15" spans="1:12" x14ac:dyDescent="0.25"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 x14ac:dyDescent="0.25">
      <c r="A16" t="s">
        <v>3225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x14ac:dyDescent="0.25">
      <c r="A17" t="s">
        <v>18</v>
      </c>
      <c r="B17" t="s">
        <v>23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25">
      <c r="A18" t="s">
        <v>3221</v>
      </c>
      <c r="B18" t="s">
        <v>3222</v>
      </c>
      <c r="C18" s="22">
        <v>1255284</v>
      </c>
      <c r="D18" s="22">
        <v>666434</v>
      </c>
      <c r="E18" s="22">
        <v>487554</v>
      </c>
      <c r="F18" s="22">
        <v>353203</v>
      </c>
      <c r="G18" s="22">
        <v>271908</v>
      </c>
      <c r="H18" s="21">
        <v>352000</v>
      </c>
      <c r="I18" s="21"/>
      <c r="J18" s="21">
        <v>345000</v>
      </c>
      <c r="K18" s="21">
        <v>0</v>
      </c>
      <c r="L18" s="22">
        <f>J18+K18</f>
        <v>345000</v>
      </c>
    </row>
    <row r="19" spans="1:12" x14ac:dyDescent="0.25">
      <c r="A19" t="s">
        <v>3223</v>
      </c>
      <c r="B19" t="s">
        <v>3224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1">
        <v>0</v>
      </c>
      <c r="I19" s="21"/>
      <c r="J19" s="21">
        <v>0</v>
      </c>
      <c r="K19" s="21">
        <v>0</v>
      </c>
      <c r="L19" s="22">
        <f>J19+K19</f>
        <v>0</v>
      </c>
    </row>
    <row r="20" spans="1:12" x14ac:dyDescent="0.25"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x14ac:dyDescent="0.25"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x14ac:dyDescent="0.25">
      <c r="A22" t="s">
        <v>109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5">
      <c r="B23" t="s">
        <v>3225</v>
      </c>
      <c r="C23" s="22">
        <f t="shared" ref="C23:H23" si="1">SUM(C18:C19)</f>
        <v>1255284</v>
      </c>
      <c r="D23" s="22">
        <f t="shared" si="1"/>
        <v>666434</v>
      </c>
      <c r="E23" s="22">
        <f t="shared" si="1"/>
        <v>487554</v>
      </c>
      <c r="F23" s="22">
        <f t="shared" si="1"/>
        <v>353203</v>
      </c>
      <c r="G23" s="22">
        <f t="shared" si="1"/>
        <v>271908</v>
      </c>
      <c r="H23" s="22">
        <f t="shared" si="1"/>
        <v>352000</v>
      </c>
      <c r="I23" s="22"/>
      <c r="J23" s="22">
        <f>SUM(J18:J19)</f>
        <v>345000</v>
      </c>
      <c r="K23" s="22">
        <f>SUM(K18:K19)</f>
        <v>0</v>
      </c>
      <c r="L23" s="22">
        <f>SUM(L18:L19)</f>
        <v>345000</v>
      </c>
    </row>
    <row r="24" spans="1:12" x14ac:dyDescent="0.25"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x14ac:dyDescent="0.25">
      <c r="A25" t="s">
        <v>3230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x14ac:dyDescent="0.25">
      <c r="A26" t="s">
        <v>18</v>
      </c>
      <c r="B26" t="s">
        <v>23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x14ac:dyDescent="0.25">
      <c r="A27" t="s">
        <v>3226</v>
      </c>
      <c r="B27" t="s">
        <v>3227</v>
      </c>
      <c r="C27" s="22">
        <v>968325</v>
      </c>
      <c r="D27" s="22">
        <v>584700</v>
      </c>
      <c r="E27" s="22">
        <v>404100</v>
      </c>
      <c r="F27" s="22">
        <v>308470</v>
      </c>
      <c r="G27" s="22">
        <v>242180</v>
      </c>
      <c r="H27" s="21">
        <v>319000</v>
      </c>
      <c r="I27" s="21"/>
      <c r="J27" s="21">
        <v>295000</v>
      </c>
      <c r="K27" s="21">
        <v>0</v>
      </c>
      <c r="L27" s="22">
        <f>J27+K27</f>
        <v>295000</v>
      </c>
    </row>
    <row r="28" spans="1:12" x14ac:dyDescent="0.25">
      <c r="A28" t="s">
        <v>3228</v>
      </c>
      <c r="B28" t="s">
        <v>3229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>J28+K28</f>
        <v>0</v>
      </c>
    </row>
    <row r="29" spans="1:12" x14ac:dyDescent="0.25"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x14ac:dyDescent="0.25"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x14ac:dyDescent="0.25">
      <c r="A31" t="s">
        <v>109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x14ac:dyDescent="0.25">
      <c r="B32" t="s">
        <v>3230</v>
      </c>
      <c r="C32" s="22">
        <f t="shared" ref="C32:H32" si="2">SUM(C27:C28)</f>
        <v>968325</v>
      </c>
      <c r="D32" s="22">
        <f t="shared" si="2"/>
        <v>584700</v>
      </c>
      <c r="E32" s="22">
        <f t="shared" si="2"/>
        <v>404100</v>
      </c>
      <c r="F32" s="22">
        <f t="shared" si="2"/>
        <v>308470</v>
      </c>
      <c r="G32" s="22">
        <f t="shared" si="2"/>
        <v>242180</v>
      </c>
      <c r="H32" s="22">
        <f t="shared" si="2"/>
        <v>319000</v>
      </c>
      <c r="I32" s="22"/>
      <c r="J32" s="22">
        <f>SUM(J27:J28)</f>
        <v>295000</v>
      </c>
      <c r="K32" s="22">
        <f>SUM(K27:K28)</f>
        <v>0</v>
      </c>
      <c r="L32" s="22">
        <f>SUM(L27:L28)</f>
        <v>295000</v>
      </c>
    </row>
    <row r="33" spans="1:12" x14ac:dyDescent="0.25"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x14ac:dyDescent="0.25"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5"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25">
      <c r="A36" t="s">
        <v>3542</v>
      </c>
      <c r="C36" s="22">
        <f t="shared" ref="C36:H36" si="3">C14+C23+C32</f>
        <v>2301810</v>
      </c>
      <c r="D36" s="22">
        <f t="shared" si="3"/>
        <v>1620946</v>
      </c>
      <c r="E36" s="22">
        <f t="shared" si="3"/>
        <v>1386359</v>
      </c>
      <c r="F36" s="22">
        <f t="shared" si="3"/>
        <v>1027756</v>
      </c>
      <c r="G36" s="22">
        <f t="shared" si="3"/>
        <v>859096.36</v>
      </c>
      <c r="H36" s="22">
        <f t="shared" si="3"/>
        <v>1101000</v>
      </c>
      <c r="I36" s="22"/>
      <c r="J36" s="22">
        <f>J14+J23+J32</f>
        <v>1055000</v>
      </c>
      <c r="K36" s="22">
        <f>K14+K23+K32</f>
        <v>0</v>
      </c>
      <c r="L36" s="22">
        <f>L14+L23+L32</f>
        <v>1055000</v>
      </c>
    </row>
    <row r="37" spans="1:12" x14ac:dyDescent="0.25"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5">
      <c r="A38" s="1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5"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5"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5">
      <c r="A41" t="s">
        <v>3771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5">
      <c r="A42" t="s">
        <v>386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5"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5"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5">
      <c r="A45" t="s">
        <v>501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5">
      <c r="A46" t="s">
        <v>18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x14ac:dyDescent="0.25">
      <c r="A47" t="s">
        <v>518</v>
      </c>
      <c r="B47" t="s">
        <v>3233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1">
        <v>0</v>
      </c>
      <c r="I47" s="21"/>
      <c r="J47" s="21">
        <v>0</v>
      </c>
      <c r="K47" s="21">
        <v>0</v>
      </c>
      <c r="L47" s="22">
        <f>J47+K47</f>
        <v>0</v>
      </c>
    </row>
    <row r="48" spans="1:12" x14ac:dyDescent="0.25"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x14ac:dyDescent="0.25"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x14ac:dyDescent="0.25">
      <c r="A50" t="s">
        <v>109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1:12" x14ac:dyDescent="0.25">
      <c r="B51" t="s">
        <v>501</v>
      </c>
      <c r="C51" s="22">
        <f t="shared" ref="C51:H51" si="4">SUM(C47:C47)</f>
        <v>0</v>
      </c>
      <c r="D51" s="22">
        <f t="shared" si="4"/>
        <v>0</v>
      </c>
      <c r="E51" s="22">
        <f t="shared" si="4"/>
        <v>0</v>
      </c>
      <c r="F51" s="22">
        <f t="shared" si="4"/>
        <v>0</v>
      </c>
      <c r="G51" s="22">
        <f t="shared" si="4"/>
        <v>0</v>
      </c>
      <c r="H51" s="22">
        <f t="shared" si="4"/>
        <v>0</v>
      </c>
      <c r="I51" s="22"/>
      <c r="J51" s="22">
        <f>SUM(J47:J47)</f>
        <v>0</v>
      </c>
      <c r="K51" s="22">
        <f>SUM(K47:K47)</f>
        <v>0</v>
      </c>
      <c r="L51" s="22">
        <f>SUM(L47:L47)</f>
        <v>0</v>
      </c>
    </row>
    <row r="52" spans="1:12" x14ac:dyDescent="0.25"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x14ac:dyDescent="0.25"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x14ac:dyDescent="0.25">
      <c r="A54" t="s">
        <v>109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x14ac:dyDescent="0.25">
      <c r="A55">
        <v>10</v>
      </c>
      <c r="B55" t="s">
        <v>3772</v>
      </c>
      <c r="C55" s="22">
        <f t="shared" ref="C55:H55" si="5">C51</f>
        <v>0</v>
      </c>
      <c r="D55" s="22">
        <f t="shared" si="5"/>
        <v>0</v>
      </c>
      <c r="E55" s="22">
        <f t="shared" si="5"/>
        <v>0</v>
      </c>
      <c r="F55" s="22">
        <f t="shared" si="5"/>
        <v>0</v>
      </c>
      <c r="G55" s="22">
        <f t="shared" si="5"/>
        <v>0</v>
      </c>
      <c r="H55" s="22">
        <f t="shared" si="5"/>
        <v>0</v>
      </c>
      <c r="I55" s="22"/>
      <c r="J55" s="22">
        <f>J51</f>
        <v>0</v>
      </c>
      <c r="K55" s="22">
        <f>K51</f>
        <v>0</v>
      </c>
      <c r="L55" s="22">
        <f>L51</f>
        <v>0</v>
      </c>
    </row>
    <row r="56" spans="1:12" x14ac:dyDescent="0.25"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x14ac:dyDescent="0.25">
      <c r="A57" t="s">
        <v>3773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x14ac:dyDescent="0.25"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x14ac:dyDescent="0.25"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x14ac:dyDescent="0.25">
      <c r="A60" t="s">
        <v>478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12" x14ac:dyDescent="0.25">
      <c r="A61" t="s">
        <v>18</v>
      </c>
      <c r="B61" t="s">
        <v>21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1:12" x14ac:dyDescent="0.25">
      <c r="A62" t="s">
        <v>3236</v>
      </c>
      <c r="B62" t="s">
        <v>3237</v>
      </c>
      <c r="C62" s="22">
        <v>80000</v>
      </c>
      <c r="D62" s="22">
        <v>80000</v>
      </c>
      <c r="E62" s="22">
        <v>80000</v>
      </c>
      <c r="F62" s="22">
        <v>80000</v>
      </c>
      <c r="G62" s="22">
        <v>80000</v>
      </c>
      <c r="H62" s="21">
        <v>80000</v>
      </c>
      <c r="I62" s="21"/>
      <c r="J62" s="21">
        <v>80000</v>
      </c>
      <c r="K62" s="21">
        <v>0</v>
      </c>
      <c r="L62" s="22">
        <f>J62+K62</f>
        <v>80000</v>
      </c>
    </row>
    <row r="63" spans="1:12" x14ac:dyDescent="0.25"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1:12" x14ac:dyDescent="0.25"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x14ac:dyDescent="0.25">
      <c r="A65" t="s">
        <v>109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1:12" x14ac:dyDescent="0.25">
      <c r="B66" t="s">
        <v>478</v>
      </c>
      <c r="C66" s="22">
        <f t="shared" ref="C66:H66" si="6">SUM(C62:C62)</f>
        <v>80000</v>
      </c>
      <c r="D66" s="22">
        <f t="shared" si="6"/>
        <v>80000</v>
      </c>
      <c r="E66" s="22">
        <f t="shared" si="6"/>
        <v>80000</v>
      </c>
      <c r="F66" s="22">
        <f t="shared" si="6"/>
        <v>80000</v>
      </c>
      <c r="G66" s="22">
        <f t="shared" si="6"/>
        <v>80000</v>
      </c>
      <c r="H66" s="22">
        <f t="shared" si="6"/>
        <v>80000</v>
      </c>
      <c r="I66" s="22"/>
      <c r="J66" s="22">
        <f>SUM(J62:J62)</f>
        <v>80000</v>
      </c>
      <c r="K66" s="22">
        <f>SUM(K62:K62)</f>
        <v>0</v>
      </c>
      <c r="L66" s="22">
        <f>SUM(L62:L62)</f>
        <v>80000</v>
      </c>
    </row>
    <row r="67" spans="1:12" x14ac:dyDescent="0.25"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1:12" x14ac:dyDescent="0.25">
      <c r="A68" t="s">
        <v>489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1:12" x14ac:dyDescent="0.25">
      <c r="A69" t="s">
        <v>18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x14ac:dyDescent="0.25">
      <c r="A70" t="s">
        <v>3238</v>
      </c>
      <c r="B70" t="s">
        <v>3239</v>
      </c>
      <c r="C70" s="22">
        <v>1686500</v>
      </c>
      <c r="D70" s="22">
        <v>0</v>
      </c>
      <c r="E70" s="22">
        <v>0</v>
      </c>
      <c r="F70" s="22">
        <v>0</v>
      </c>
      <c r="G70" s="22">
        <v>0</v>
      </c>
      <c r="H70" s="21">
        <v>0</v>
      </c>
      <c r="I70" s="21"/>
      <c r="J70" s="21">
        <v>3000000</v>
      </c>
      <c r="K70" s="21">
        <v>0</v>
      </c>
      <c r="L70" s="22">
        <f>J70+K70</f>
        <v>3000000</v>
      </c>
    </row>
    <row r="71" spans="1:12" x14ac:dyDescent="0.25">
      <c r="A71" t="s">
        <v>3240</v>
      </c>
      <c r="B71" t="s">
        <v>3241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1">
        <v>0</v>
      </c>
      <c r="I71" s="21"/>
      <c r="J71" s="21">
        <v>0</v>
      </c>
      <c r="K71" s="21">
        <v>0</v>
      </c>
      <c r="L71" s="22">
        <f>J71+K71</f>
        <v>0</v>
      </c>
    </row>
    <row r="72" spans="1:12" x14ac:dyDescent="0.25"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x14ac:dyDescent="0.25"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x14ac:dyDescent="0.25">
      <c r="A74" t="s">
        <v>109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x14ac:dyDescent="0.25">
      <c r="B75" t="s">
        <v>489</v>
      </c>
      <c r="C75" s="22">
        <f t="shared" ref="C75:H75" si="7">SUM(C70:C71)</f>
        <v>1686500</v>
      </c>
      <c r="D75" s="22">
        <f t="shared" si="7"/>
        <v>0</v>
      </c>
      <c r="E75" s="22">
        <f t="shared" si="7"/>
        <v>0</v>
      </c>
      <c r="F75" s="22">
        <f t="shared" si="7"/>
        <v>0</v>
      </c>
      <c r="G75" s="22">
        <f t="shared" si="7"/>
        <v>0</v>
      </c>
      <c r="H75" s="22">
        <f t="shared" si="7"/>
        <v>0</v>
      </c>
      <c r="I75" s="22"/>
      <c r="J75" s="22">
        <f>SUM(J70:J71)</f>
        <v>3000000</v>
      </c>
      <c r="K75" s="22">
        <f>SUM(K70:K71)</f>
        <v>0</v>
      </c>
      <c r="L75" s="22">
        <f>SUM(L70:L71)</f>
        <v>3000000</v>
      </c>
    </row>
    <row r="76" spans="1:12" x14ac:dyDescent="0.25"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x14ac:dyDescent="0.25">
      <c r="A77" t="s">
        <v>501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 x14ac:dyDescent="0.25">
      <c r="A78" t="s">
        <v>18</v>
      </c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2" x14ac:dyDescent="0.25">
      <c r="A79" t="s">
        <v>2210</v>
      </c>
      <c r="B79" t="s">
        <v>3242</v>
      </c>
      <c r="C79" s="22">
        <v>531663</v>
      </c>
      <c r="D79" s="22">
        <v>0</v>
      </c>
      <c r="E79" s="22">
        <v>0</v>
      </c>
      <c r="F79" s="22">
        <v>0</v>
      </c>
      <c r="G79" s="22">
        <v>0</v>
      </c>
      <c r="H79" s="21">
        <v>0</v>
      </c>
      <c r="I79" s="21"/>
      <c r="J79" s="21">
        <v>0</v>
      </c>
      <c r="K79" s="21">
        <v>0</v>
      </c>
      <c r="L79" s="22">
        <f>J79+K79</f>
        <v>0</v>
      </c>
    </row>
    <row r="80" spans="1:12" x14ac:dyDescent="0.25"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x14ac:dyDescent="0.25"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x14ac:dyDescent="0.25">
      <c r="A82" t="s">
        <v>109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1:12" x14ac:dyDescent="0.25">
      <c r="B83" t="s">
        <v>501</v>
      </c>
      <c r="C83" s="22">
        <f t="shared" ref="C83:H83" si="8">SUM(C79:C79)</f>
        <v>531663</v>
      </c>
      <c r="D83" s="22">
        <f t="shared" si="8"/>
        <v>0</v>
      </c>
      <c r="E83" s="22">
        <f t="shared" si="8"/>
        <v>0</v>
      </c>
      <c r="F83" s="22">
        <f t="shared" si="8"/>
        <v>0</v>
      </c>
      <c r="G83" s="22">
        <f t="shared" si="8"/>
        <v>0</v>
      </c>
      <c r="H83" s="22">
        <f t="shared" si="8"/>
        <v>0</v>
      </c>
      <c r="I83" s="22"/>
      <c r="J83" s="22">
        <f>SUM(J79:J79)</f>
        <v>0</v>
      </c>
      <c r="K83" s="22">
        <f>SUM(K79:K79)</f>
        <v>0</v>
      </c>
      <c r="L83" s="22">
        <f>SUM(L79:L79)</f>
        <v>0</v>
      </c>
    </row>
    <row r="84" spans="1:12" x14ac:dyDescent="0.25"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1:12" x14ac:dyDescent="0.25"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x14ac:dyDescent="0.25">
      <c r="A86" t="s">
        <v>109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x14ac:dyDescent="0.25">
      <c r="A87">
        <v>60</v>
      </c>
      <c r="B87" t="s">
        <v>3774</v>
      </c>
      <c r="C87" s="22">
        <f t="shared" ref="C87:H87" si="9">C66+C75+C83</f>
        <v>2298163</v>
      </c>
      <c r="D87" s="22">
        <f t="shared" si="9"/>
        <v>80000</v>
      </c>
      <c r="E87" s="22">
        <f t="shared" si="9"/>
        <v>80000</v>
      </c>
      <c r="F87" s="22">
        <f t="shared" si="9"/>
        <v>80000</v>
      </c>
      <c r="G87" s="22">
        <f t="shared" si="9"/>
        <v>80000</v>
      </c>
      <c r="H87" s="22">
        <f t="shared" si="9"/>
        <v>80000</v>
      </c>
      <c r="I87" s="22"/>
      <c r="J87" s="22">
        <f>J66+J75+J83</f>
        <v>3080000</v>
      </c>
      <c r="K87" s="22">
        <f>K66+K75+K83</f>
        <v>0</v>
      </c>
      <c r="L87" s="22">
        <f>L66+L75+L83</f>
        <v>3080000</v>
      </c>
    </row>
    <row r="88" spans="1:12" x14ac:dyDescent="0.25"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1:12" x14ac:dyDescent="0.25">
      <c r="A89" t="s">
        <v>3775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 spans="1:12" x14ac:dyDescent="0.25"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1:12" x14ac:dyDescent="0.25"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1:12" x14ac:dyDescent="0.25">
      <c r="A92" t="s">
        <v>489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 spans="1:12" x14ac:dyDescent="0.25">
      <c r="A93" t="s">
        <v>18</v>
      </c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1:12" x14ac:dyDescent="0.25">
      <c r="A94" t="s">
        <v>3245</v>
      </c>
      <c r="B94" t="s">
        <v>3246</v>
      </c>
      <c r="C94" s="22">
        <v>9500</v>
      </c>
      <c r="D94" s="22">
        <v>0</v>
      </c>
      <c r="E94" s="22">
        <v>0</v>
      </c>
      <c r="F94" s="22">
        <v>0</v>
      </c>
      <c r="G94" s="22">
        <v>0</v>
      </c>
      <c r="H94" s="21">
        <v>0</v>
      </c>
      <c r="I94" s="21"/>
      <c r="J94" s="21">
        <v>0</v>
      </c>
      <c r="K94" s="21">
        <v>0</v>
      </c>
      <c r="L94" s="22">
        <f>J94+K94</f>
        <v>0</v>
      </c>
    </row>
    <row r="95" spans="1:12" x14ac:dyDescent="0.25">
      <c r="A95" t="s">
        <v>3247</v>
      </c>
      <c r="B95" t="s">
        <v>3248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1">
        <v>0</v>
      </c>
      <c r="I95" s="21"/>
      <c r="J95" s="21">
        <v>0</v>
      </c>
      <c r="K95" s="21">
        <v>0</v>
      </c>
      <c r="L95" s="22">
        <f>J95+K95</f>
        <v>0</v>
      </c>
    </row>
    <row r="96" spans="1:12" x14ac:dyDescent="0.25">
      <c r="C96" s="22"/>
      <c r="D96" s="22"/>
      <c r="E96" s="22"/>
      <c r="F96" s="22"/>
      <c r="G96" s="22"/>
      <c r="H96" s="22"/>
      <c r="I96" s="22"/>
      <c r="J96" s="22"/>
      <c r="K96" s="22"/>
      <c r="L96" s="22"/>
    </row>
    <row r="97" spans="1:12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 spans="1:12" x14ac:dyDescent="0.25">
      <c r="A98" t="s">
        <v>109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1:12" x14ac:dyDescent="0.25">
      <c r="B99" t="s">
        <v>489</v>
      </c>
      <c r="C99" s="22">
        <f t="shared" ref="C99:H99" si="10">SUM(C94:C95)</f>
        <v>9500</v>
      </c>
      <c r="D99" s="22">
        <f t="shared" si="10"/>
        <v>0</v>
      </c>
      <c r="E99" s="22">
        <f t="shared" si="10"/>
        <v>0</v>
      </c>
      <c r="F99" s="22">
        <f t="shared" si="10"/>
        <v>0</v>
      </c>
      <c r="G99" s="22">
        <f t="shared" si="10"/>
        <v>0</v>
      </c>
      <c r="H99" s="22">
        <f t="shared" si="10"/>
        <v>0</v>
      </c>
      <c r="I99" s="22"/>
      <c r="J99" s="22">
        <f>SUM(J94:J95)</f>
        <v>0</v>
      </c>
      <c r="K99" s="22">
        <f>SUM(K94:K95)</f>
        <v>0</v>
      </c>
      <c r="L99" s="22">
        <f>SUM(L94:L95)</f>
        <v>0</v>
      </c>
    </row>
    <row r="100" spans="1:12" x14ac:dyDescent="0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  <row r="101" spans="1:12" x14ac:dyDescent="0.25">
      <c r="A101" t="s">
        <v>501</v>
      </c>
      <c r="C101" s="22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x14ac:dyDescent="0.25">
      <c r="A102" t="s">
        <v>18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1:12" x14ac:dyDescent="0.25">
      <c r="A103" t="s">
        <v>2378</v>
      </c>
      <c r="B103" t="s">
        <v>3249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1">
        <v>0</v>
      </c>
      <c r="I103" s="21"/>
      <c r="J103" s="21">
        <v>0</v>
      </c>
      <c r="K103" s="21">
        <v>0</v>
      </c>
      <c r="L103" s="22">
        <f>J103+K103</f>
        <v>0</v>
      </c>
    </row>
    <row r="104" spans="1:12" x14ac:dyDescent="0.25">
      <c r="A104" t="s">
        <v>2381</v>
      </c>
      <c r="B104" t="s">
        <v>519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1">
        <v>0</v>
      </c>
      <c r="I104" s="21"/>
      <c r="J104" s="21">
        <v>0</v>
      </c>
      <c r="K104" s="21">
        <v>0</v>
      </c>
      <c r="L104" s="22">
        <f>J104+K104</f>
        <v>0</v>
      </c>
    </row>
    <row r="105" spans="1:12" x14ac:dyDescent="0.25">
      <c r="A105" t="s">
        <v>2383</v>
      </c>
      <c r="B105" t="s">
        <v>3250</v>
      </c>
      <c r="C105" s="22">
        <v>568158</v>
      </c>
      <c r="D105" s="22">
        <v>0</v>
      </c>
      <c r="E105" s="22">
        <v>0</v>
      </c>
      <c r="F105" s="22">
        <v>0</v>
      </c>
      <c r="G105" s="22">
        <v>0</v>
      </c>
      <c r="H105" s="21">
        <v>0</v>
      </c>
      <c r="I105" s="21"/>
      <c r="J105" s="21">
        <v>0</v>
      </c>
      <c r="K105" s="21">
        <v>0</v>
      </c>
      <c r="L105" s="22">
        <f>J105+K105</f>
        <v>0</v>
      </c>
    </row>
    <row r="106" spans="1:12" x14ac:dyDescent="0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</row>
    <row r="107" spans="1:12" x14ac:dyDescent="0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</row>
    <row r="108" spans="1:12" x14ac:dyDescent="0.25">
      <c r="A108" t="s">
        <v>109</v>
      </c>
      <c r="C108" s="22"/>
      <c r="D108" s="22"/>
      <c r="E108" s="22"/>
      <c r="F108" s="22"/>
      <c r="G108" s="22"/>
      <c r="H108" s="22"/>
      <c r="I108" s="22"/>
      <c r="J108" s="22"/>
      <c r="K108" s="22"/>
      <c r="L108" s="22"/>
    </row>
    <row r="109" spans="1:12" x14ac:dyDescent="0.25">
      <c r="B109" t="s">
        <v>501</v>
      </c>
      <c r="C109" s="22">
        <f t="shared" ref="C109:H109" si="11">SUM(C103:C105)</f>
        <v>568158</v>
      </c>
      <c r="D109" s="22">
        <f t="shared" si="11"/>
        <v>0</v>
      </c>
      <c r="E109" s="22">
        <f t="shared" si="11"/>
        <v>0</v>
      </c>
      <c r="F109" s="22">
        <f t="shared" si="11"/>
        <v>0</v>
      </c>
      <c r="G109" s="22">
        <f t="shared" si="11"/>
        <v>0</v>
      </c>
      <c r="H109" s="22">
        <f t="shared" si="11"/>
        <v>0</v>
      </c>
      <c r="I109" s="22"/>
      <c r="J109" s="22">
        <f>SUM(J103:J105)</f>
        <v>0</v>
      </c>
      <c r="K109" s="22">
        <f>SUM(K103:K105)</f>
        <v>0</v>
      </c>
      <c r="L109" s="22">
        <f>SUM(L103:L105)</f>
        <v>0</v>
      </c>
    </row>
    <row r="110" spans="1:12" x14ac:dyDescent="0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</row>
    <row r="111" spans="1:12" x14ac:dyDescent="0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</row>
    <row r="112" spans="1:12" x14ac:dyDescent="0.25">
      <c r="A112" t="s">
        <v>109</v>
      </c>
      <c r="C112" s="22"/>
      <c r="D112" s="22"/>
      <c r="E112" s="22"/>
      <c r="F112" s="22"/>
      <c r="G112" s="22"/>
      <c r="H112" s="22"/>
      <c r="I112" s="22"/>
      <c r="J112" s="22"/>
      <c r="K112" s="22"/>
      <c r="L112" s="22"/>
    </row>
    <row r="113" spans="1:12" x14ac:dyDescent="0.25">
      <c r="A113">
        <v>70</v>
      </c>
      <c r="B113" t="s">
        <v>3776</v>
      </c>
      <c r="C113" s="22">
        <f t="shared" ref="C113:H113" si="12">C99+C109</f>
        <v>577658</v>
      </c>
      <c r="D113" s="22">
        <f t="shared" si="12"/>
        <v>0</v>
      </c>
      <c r="E113" s="22">
        <f t="shared" si="12"/>
        <v>0</v>
      </c>
      <c r="F113" s="22">
        <f t="shared" si="12"/>
        <v>0</v>
      </c>
      <c r="G113" s="22">
        <f t="shared" si="12"/>
        <v>0</v>
      </c>
      <c r="H113" s="22">
        <f t="shared" si="12"/>
        <v>0</v>
      </c>
      <c r="I113" s="22"/>
      <c r="J113" s="22">
        <f>J99+J109</f>
        <v>0</v>
      </c>
      <c r="K113" s="22">
        <f>K99+K109</f>
        <v>0</v>
      </c>
      <c r="L113" s="22">
        <f>L99+L109</f>
        <v>0</v>
      </c>
    </row>
    <row r="114" spans="1:12" x14ac:dyDescent="0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</row>
    <row r="115" spans="1:12" x14ac:dyDescent="0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</row>
    <row r="116" spans="1:12" x14ac:dyDescent="0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</row>
    <row r="117" spans="1:12" x14ac:dyDescent="0.25">
      <c r="A117" t="s">
        <v>3717</v>
      </c>
      <c r="C117" s="22">
        <f t="shared" ref="C117:H117" si="13">C55+C87+C113</f>
        <v>2875821</v>
      </c>
      <c r="D117" s="22">
        <f t="shared" si="13"/>
        <v>80000</v>
      </c>
      <c r="E117" s="22">
        <f t="shared" si="13"/>
        <v>80000</v>
      </c>
      <c r="F117" s="22">
        <f t="shared" si="13"/>
        <v>80000</v>
      </c>
      <c r="G117" s="22">
        <f t="shared" si="13"/>
        <v>80000</v>
      </c>
      <c r="H117" s="22">
        <f t="shared" si="13"/>
        <v>80000</v>
      </c>
      <c r="I117" s="22"/>
      <c r="J117" s="22">
        <f>J55+J87+J113</f>
        <v>3080000</v>
      </c>
      <c r="K117" s="22">
        <f>K55+K87+K113</f>
        <v>0</v>
      </c>
      <c r="L117" s="22">
        <f>L55+L87+L113</f>
        <v>3080000</v>
      </c>
    </row>
    <row r="118" spans="1:12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</row>
    <row r="119" spans="1:12" x14ac:dyDescent="0.25">
      <c r="A119" t="s">
        <v>3777</v>
      </c>
      <c r="C119" s="22">
        <f t="shared" ref="C119:H119" si="14">C36-C117</f>
        <v>-574011</v>
      </c>
      <c r="D119" s="22">
        <f t="shared" si="14"/>
        <v>1540946</v>
      </c>
      <c r="E119" s="22">
        <f t="shared" si="14"/>
        <v>1306359</v>
      </c>
      <c r="F119" s="22">
        <f t="shared" si="14"/>
        <v>947756</v>
      </c>
      <c r="G119" s="22">
        <f t="shared" si="14"/>
        <v>779096.36</v>
      </c>
      <c r="H119" s="22">
        <f t="shared" si="14"/>
        <v>1021000</v>
      </c>
      <c r="I119" s="22"/>
      <c r="J119" s="22">
        <f>J36-J117</f>
        <v>-2025000</v>
      </c>
      <c r="K119" s="22">
        <f>K36-K117</f>
        <v>0</v>
      </c>
      <c r="L119" s="22">
        <f>L36-L117</f>
        <v>-2025000</v>
      </c>
    </row>
  </sheetData>
  <sheetProtection algorithmName="SHA-512" hashValue="Sw2eba2NqzTcD/auDTqAQKNturRK189IDqBTn90RWvZ1Z1c7OyaBVFuQXAZu8hyMK8Jof//yKmN5H7G6vncWoA==" saltValue="X3Iytm+Oar/zaLnFIAlnZw==" spinCount="100000" sheet="1" objects="1" scenarios="1" insertRows="0"/>
  <pageMargins left="0.25" right="0.25" top="0.75" bottom="0.75" header="0.3" footer="0.3"/>
  <pageSetup scale="73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4DCA-245A-4FBA-A84B-6FF3D64E256F}">
  <sheetPr>
    <pageSetUpPr fitToPage="1"/>
  </sheetPr>
  <dimension ref="A1:L138"/>
  <sheetViews>
    <sheetView zoomScaleNormal="100" workbookViewId="0">
      <selection activeCell="A116" sqref="A116:XFD116"/>
    </sheetView>
  </sheetViews>
  <sheetFormatPr defaultRowHeight="15" x14ac:dyDescent="0.25"/>
  <cols>
    <col min="2" max="2" width="34.140625" bestFit="1" customWidth="1"/>
    <col min="3" max="3" width="14.28515625" bestFit="1" customWidth="1"/>
    <col min="4" max="4" width="15" bestFit="1" customWidth="1"/>
    <col min="5" max="7" width="14.28515625" bestFit="1" customWidth="1"/>
    <col min="8" max="8" width="15" bestFit="1" customWidth="1"/>
    <col min="9" max="9" width="10.7109375" customWidth="1"/>
    <col min="10" max="10" width="15" bestFit="1" customWidth="1"/>
    <col min="11" max="11" width="14.7109375" bestFit="1" customWidth="1"/>
    <col min="12" max="12" width="15" bestFit="1" customWidth="1"/>
  </cols>
  <sheetData>
    <row r="1" spans="1:12" x14ac:dyDescent="0.25">
      <c r="A1" t="s">
        <v>3778</v>
      </c>
    </row>
    <row r="2" spans="1:12" x14ac:dyDescent="0.25">
      <c r="A2" t="s">
        <v>1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3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2" x14ac:dyDescent="0.25">
      <c r="A8" t="s">
        <v>3286</v>
      </c>
    </row>
    <row r="9" spans="1:12" x14ac:dyDescent="0.25">
      <c r="A9" t="s">
        <v>18</v>
      </c>
      <c r="B9" t="s">
        <v>23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hidden="1" x14ac:dyDescent="0.25">
      <c r="A10" t="s">
        <v>2614</v>
      </c>
      <c r="B10" t="s">
        <v>2615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1">
        <v>0</v>
      </c>
      <c r="I10" s="21"/>
      <c r="J10" s="21">
        <v>0</v>
      </c>
      <c r="K10" s="21">
        <v>0</v>
      </c>
      <c r="L10" s="22">
        <f>SUM(J10+K10)</f>
        <v>0</v>
      </c>
    </row>
    <row r="11" spans="1:12" hidden="1" x14ac:dyDescent="0.25">
      <c r="A11" t="s">
        <v>2616</v>
      </c>
      <c r="B11" t="s">
        <v>3268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1">
        <v>0</v>
      </c>
      <c r="I11" s="21"/>
      <c r="J11" s="21">
        <v>0</v>
      </c>
      <c r="K11" s="21">
        <v>0</v>
      </c>
      <c r="L11" s="22">
        <f t="shared" ref="L11:L23" si="0">SUM(J11+K11)</f>
        <v>0</v>
      </c>
    </row>
    <row r="12" spans="1:12" hidden="1" x14ac:dyDescent="0.25">
      <c r="A12" t="s">
        <v>2618</v>
      </c>
      <c r="B12" t="s">
        <v>3269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1">
        <v>0</v>
      </c>
      <c r="I12" s="21"/>
      <c r="J12" s="21">
        <v>0</v>
      </c>
      <c r="K12" s="21">
        <v>0</v>
      </c>
      <c r="L12" s="22">
        <f t="shared" si="0"/>
        <v>0</v>
      </c>
    </row>
    <row r="13" spans="1:12" hidden="1" x14ac:dyDescent="0.25">
      <c r="A13" t="s">
        <v>2620</v>
      </c>
      <c r="B13" t="s">
        <v>3270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 t="shared" si="0"/>
        <v>0</v>
      </c>
    </row>
    <row r="14" spans="1:12" hidden="1" x14ac:dyDescent="0.25">
      <c r="A14" t="s">
        <v>2622</v>
      </c>
      <c r="B14" t="s">
        <v>3271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1">
        <v>0</v>
      </c>
      <c r="I14" s="21"/>
      <c r="J14" s="21">
        <v>0</v>
      </c>
      <c r="K14" s="21">
        <v>0</v>
      </c>
      <c r="L14" s="22">
        <f t="shared" si="0"/>
        <v>0</v>
      </c>
    </row>
    <row r="15" spans="1:12" hidden="1" x14ac:dyDescent="0.25">
      <c r="A15" t="s">
        <v>2626</v>
      </c>
      <c r="B15" t="s">
        <v>3272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1">
        <v>0</v>
      </c>
      <c r="I15" s="21"/>
      <c r="J15" s="21">
        <v>0</v>
      </c>
      <c r="K15" s="21">
        <v>0</v>
      </c>
      <c r="L15" s="22">
        <f t="shared" si="0"/>
        <v>0</v>
      </c>
    </row>
    <row r="16" spans="1:12" x14ac:dyDescent="0.25">
      <c r="A16" t="s">
        <v>2716</v>
      </c>
      <c r="B16" t="s">
        <v>3273</v>
      </c>
      <c r="C16" s="22">
        <v>5903</v>
      </c>
      <c r="D16" s="22">
        <v>43585</v>
      </c>
      <c r="E16" s="22">
        <v>54192</v>
      </c>
      <c r="F16" s="22">
        <v>42377</v>
      </c>
      <c r="G16" s="22">
        <v>34742.46</v>
      </c>
      <c r="H16" s="21">
        <v>43000</v>
      </c>
      <c r="I16" s="21"/>
      <c r="J16" s="21">
        <v>40000</v>
      </c>
      <c r="K16" s="21">
        <v>0</v>
      </c>
      <c r="L16" s="22">
        <f t="shared" si="0"/>
        <v>40000</v>
      </c>
    </row>
    <row r="17" spans="1:12" x14ac:dyDescent="0.25">
      <c r="A17" t="s">
        <v>3274</v>
      </c>
      <c r="B17" t="s">
        <v>3275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1">
        <v>0</v>
      </c>
      <c r="I17" s="21"/>
      <c r="J17" s="21">
        <v>0</v>
      </c>
      <c r="K17" s="21">
        <v>0</v>
      </c>
      <c r="L17" s="22">
        <f t="shared" si="0"/>
        <v>0</v>
      </c>
    </row>
    <row r="18" spans="1:12" x14ac:dyDescent="0.25">
      <c r="A18" t="s">
        <v>2750</v>
      </c>
      <c r="B18" t="s">
        <v>3276</v>
      </c>
      <c r="C18" s="22">
        <v>0</v>
      </c>
      <c r="D18" s="22">
        <v>0</v>
      </c>
      <c r="E18" s="22">
        <v>13892</v>
      </c>
      <c r="F18" s="22">
        <v>0</v>
      </c>
      <c r="G18" s="22">
        <v>0</v>
      </c>
      <c r="H18" s="21">
        <v>0</v>
      </c>
      <c r="I18" s="21"/>
      <c r="J18" s="21">
        <v>0</v>
      </c>
      <c r="K18" s="21">
        <v>0</v>
      </c>
      <c r="L18" s="22">
        <f t="shared" si="0"/>
        <v>0</v>
      </c>
    </row>
    <row r="19" spans="1:12" x14ac:dyDescent="0.25">
      <c r="A19" t="s">
        <v>3277</v>
      </c>
      <c r="B19" t="s">
        <v>3278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1">
        <v>0</v>
      </c>
      <c r="I19" s="21"/>
      <c r="J19" s="21">
        <v>0</v>
      </c>
      <c r="K19" s="21">
        <v>0</v>
      </c>
      <c r="L19" s="22">
        <f t="shared" si="0"/>
        <v>0</v>
      </c>
    </row>
    <row r="20" spans="1:12" x14ac:dyDescent="0.25">
      <c r="A20" t="s">
        <v>3279</v>
      </c>
      <c r="B20" t="s">
        <v>1744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1">
        <v>0</v>
      </c>
      <c r="I20" s="21"/>
      <c r="J20" s="21">
        <v>0</v>
      </c>
      <c r="K20" s="21">
        <v>0</v>
      </c>
      <c r="L20" s="22">
        <f t="shared" si="0"/>
        <v>0</v>
      </c>
    </row>
    <row r="21" spans="1:12" x14ac:dyDescent="0.25">
      <c r="A21" t="s">
        <v>3280</v>
      </c>
      <c r="B21" t="s">
        <v>3281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1">
        <v>0</v>
      </c>
      <c r="I21" s="21"/>
      <c r="J21" s="21">
        <v>0</v>
      </c>
      <c r="K21" s="21">
        <v>0</v>
      </c>
      <c r="L21" s="22">
        <f t="shared" si="0"/>
        <v>0</v>
      </c>
    </row>
    <row r="22" spans="1:12" x14ac:dyDescent="0.25">
      <c r="A22" t="s">
        <v>3282</v>
      </c>
      <c r="B22" t="s">
        <v>3283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1">
        <v>0</v>
      </c>
      <c r="I22" s="21"/>
      <c r="J22" s="21">
        <v>0</v>
      </c>
      <c r="K22" s="21">
        <v>0</v>
      </c>
      <c r="L22" s="22">
        <f t="shared" si="0"/>
        <v>0</v>
      </c>
    </row>
    <row r="23" spans="1:12" x14ac:dyDescent="0.25">
      <c r="A23" t="s">
        <v>3284</v>
      </c>
      <c r="B23" t="s">
        <v>3285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1">
        <v>0</v>
      </c>
      <c r="I23" s="21"/>
      <c r="J23" s="21">
        <v>0</v>
      </c>
      <c r="K23" s="21">
        <v>0</v>
      </c>
      <c r="L23" s="22">
        <f t="shared" si="0"/>
        <v>0</v>
      </c>
    </row>
    <row r="24" spans="1:12" x14ac:dyDescent="0.25"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x14ac:dyDescent="0.25">
      <c r="C25" s="27"/>
      <c r="D25" s="22"/>
      <c r="E25" s="22"/>
      <c r="F25" s="22"/>
      <c r="G25" s="22"/>
      <c r="H25" s="22"/>
      <c r="I25" s="22"/>
      <c r="J25" s="22"/>
      <c r="K25" s="22"/>
      <c r="L25" s="22"/>
    </row>
    <row r="26" spans="1:12" x14ac:dyDescent="0.25">
      <c r="A26" t="s">
        <v>109</v>
      </c>
      <c r="C26" s="27"/>
      <c r="D26" s="22"/>
      <c r="E26" s="22"/>
      <c r="F26" s="22"/>
      <c r="G26" s="22"/>
      <c r="H26" s="22"/>
      <c r="I26" s="22"/>
      <c r="J26" s="22"/>
      <c r="K26" s="22"/>
      <c r="L26" s="22"/>
    </row>
    <row r="27" spans="1:12" x14ac:dyDescent="0.25">
      <c r="B27" t="s">
        <v>3286</v>
      </c>
      <c r="C27" s="27">
        <f>SUM(C10:C23)</f>
        <v>5903</v>
      </c>
      <c r="D27" s="22">
        <f>SUM(D10:D23)</f>
        <v>43585</v>
      </c>
      <c r="E27" s="22">
        <f>SUM(E10:E23)</f>
        <v>68084</v>
      </c>
      <c r="F27" s="22">
        <f t="shared" ref="F27:H27" si="1">SUM(F10:F23)</f>
        <v>42377</v>
      </c>
      <c r="G27" s="22">
        <f t="shared" si="1"/>
        <v>34742.46</v>
      </c>
      <c r="H27" s="22">
        <f t="shared" si="1"/>
        <v>43000</v>
      </c>
      <c r="I27" s="22"/>
      <c r="J27" s="22">
        <f>SUM(J10:J23)</f>
        <v>40000</v>
      </c>
      <c r="K27" s="22">
        <f>SUM(K10:K23)</f>
        <v>0</v>
      </c>
      <c r="L27" s="22">
        <f>SUM(L10:L23)</f>
        <v>40000</v>
      </c>
    </row>
    <row r="28" spans="1:12" x14ac:dyDescent="0.25">
      <c r="C28" s="27"/>
      <c r="D28" s="22"/>
      <c r="E28" s="22"/>
      <c r="F28" s="22"/>
      <c r="G28" s="22"/>
      <c r="H28" s="22"/>
      <c r="I28" s="22"/>
      <c r="J28" s="22"/>
      <c r="K28" s="22"/>
      <c r="L28" s="22"/>
    </row>
    <row r="29" spans="1:12" x14ac:dyDescent="0.25">
      <c r="A29" t="s">
        <v>3303</v>
      </c>
      <c r="C29" s="27"/>
      <c r="D29" s="22"/>
      <c r="E29" s="22"/>
      <c r="F29" s="22"/>
      <c r="G29" s="22"/>
      <c r="H29" s="22"/>
      <c r="I29" s="22"/>
      <c r="J29" s="22"/>
      <c r="K29" s="22"/>
      <c r="L29" s="22"/>
    </row>
    <row r="30" spans="1:12" x14ac:dyDescent="0.25">
      <c r="A30" t="s">
        <v>18</v>
      </c>
      <c r="B30" t="s">
        <v>24</v>
      </c>
      <c r="C30" s="27"/>
      <c r="D30" s="22"/>
      <c r="E30" s="22"/>
      <c r="F30" s="22"/>
      <c r="G30" s="22"/>
      <c r="H30" s="22"/>
      <c r="I30" s="22"/>
      <c r="J30" s="22"/>
      <c r="K30" s="22"/>
      <c r="L30" s="22"/>
    </row>
    <row r="31" spans="1:12" x14ac:dyDescent="0.25">
      <c r="A31" t="s">
        <v>3289</v>
      </c>
      <c r="B31" t="s">
        <v>3290</v>
      </c>
      <c r="C31" s="27">
        <v>2675754</v>
      </c>
      <c r="D31" s="22">
        <v>2746110</v>
      </c>
      <c r="E31" s="22">
        <v>2727742</v>
      </c>
      <c r="F31" s="22">
        <v>4493771</v>
      </c>
      <c r="G31" s="22">
        <v>4471029.42</v>
      </c>
      <c r="H31" s="21">
        <v>4450000</v>
      </c>
      <c r="I31" s="21"/>
      <c r="J31" s="23">
        <v>4335281</v>
      </c>
      <c r="K31" s="21">
        <v>0</v>
      </c>
      <c r="L31" s="22">
        <f>SUM(J31+K31)</f>
        <v>4335281</v>
      </c>
    </row>
    <row r="32" spans="1:12" x14ac:dyDescent="0.25">
      <c r="A32" t="s">
        <v>3291</v>
      </c>
      <c r="B32" t="s">
        <v>30</v>
      </c>
      <c r="C32" s="27">
        <v>20178</v>
      </c>
      <c r="D32" s="22">
        <v>18563</v>
      </c>
      <c r="E32" s="22">
        <v>0</v>
      </c>
      <c r="F32" s="22">
        <v>0</v>
      </c>
      <c r="G32" s="22">
        <v>0</v>
      </c>
      <c r="H32" s="21">
        <v>0</v>
      </c>
      <c r="I32" s="21"/>
      <c r="J32" s="21">
        <v>0</v>
      </c>
      <c r="K32" s="21">
        <v>0</v>
      </c>
      <c r="L32" s="22">
        <f t="shared" ref="L32:L38" si="2">SUM(J32+K32)</f>
        <v>0</v>
      </c>
    </row>
    <row r="33" spans="1:12" x14ac:dyDescent="0.25">
      <c r="A33" t="s">
        <v>3292</v>
      </c>
      <c r="B33" t="s">
        <v>3293</v>
      </c>
      <c r="C33" s="27">
        <v>0</v>
      </c>
      <c r="D33" s="22">
        <v>0</v>
      </c>
      <c r="E33" s="22">
        <v>0</v>
      </c>
      <c r="F33" s="22">
        <v>0</v>
      </c>
      <c r="G33" s="22">
        <v>0</v>
      </c>
      <c r="H33" s="21">
        <v>0</v>
      </c>
      <c r="I33" s="21"/>
      <c r="J33" s="21">
        <v>0</v>
      </c>
      <c r="K33" s="21">
        <v>0</v>
      </c>
      <c r="L33" s="22">
        <f t="shared" si="2"/>
        <v>0</v>
      </c>
    </row>
    <row r="34" spans="1:12" x14ac:dyDescent="0.25">
      <c r="A34" t="s">
        <v>3294</v>
      </c>
      <c r="B34" t="s">
        <v>62</v>
      </c>
      <c r="C34" s="27">
        <v>0</v>
      </c>
      <c r="D34" s="22">
        <v>0</v>
      </c>
      <c r="E34" s="22">
        <v>0</v>
      </c>
      <c r="F34" s="22">
        <v>0</v>
      </c>
      <c r="G34" s="22">
        <v>0</v>
      </c>
      <c r="H34" s="21">
        <v>0</v>
      </c>
      <c r="I34" s="21"/>
      <c r="J34" s="21">
        <v>0</v>
      </c>
      <c r="K34" s="21">
        <v>0</v>
      </c>
      <c r="L34" s="22">
        <f t="shared" si="2"/>
        <v>0</v>
      </c>
    </row>
    <row r="35" spans="1:12" x14ac:dyDescent="0.25">
      <c r="A35" t="s">
        <v>3295</v>
      </c>
      <c r="B35" t="s">
        <v>3296</v>
      </c>
      <c r="C35" s="27">
        <v>0</v>
      </c>
      <c r="D35" s="22">
        <v>0</v>
      </c>
      <c r="E35" s="22">
        <v>0</v>
      </c>
      <c r="F35" s="22">
        <v>0</v>
      </c>
      <c r="G35" s="22">
        <v>0</v>
      </c>
      <c r="H35" s="21">
        <v>0</v>
      </c>
      <c r="I35" s="21"/>
      <c r="J35" s="21">
        <v>0</v>
      </c>
      <c r="K35" s="21">
        <v>0</v>
      </c>
      <c r="L35" s="22">
        <f t="shared" si="2"/>
        <v>0</v>
      </c>
    </row>
    <row r="36" spans="1:12" hidden="1" x14ac:dyDescent="0.25">
      <c r="A36" t="s">
        <v>3297</v>
      </c>
      <c r="B36" t="s">
        <v>3298</v>
      </c>
      <c r="C36" s="27">
        <v>0</v>
      </c>
      <c r="D36" s="22">
        <v>0</v>
      </c>
      <c r="E36" s="22">
        <v>0</v>
      </c>
      <c r="F36" s="22">
        <v>0</v>
      </c>
      <c r="G36" s="22">
        <v>0</v>
      </c>
      <c r="H36" s="21">
        <v>0</v>
      </c>
      <c r="I36" s="21"/>
      <c r="J36" s="21">
        <v>0</v>
      </c>
      <c r="K36" s="21">
        <v>0</v>
      </c>
      <c r="L36" s="22">
        <f t="shared" si="2"/>
        <v>0</v>
      </c>
    </row>
    <row r="37" spans="1:12" hidden="1" x14ac:dyDescent="0.25">
      <c r="A37" t="s">
        <v>3299</v>
      </c>
      <c r="B37" t="s">
        <v>3300</v>
      </c>
      <c r="C37" s="27">
        <v>0</v>
      </c>
      <c r="D37" s="22">
        <v>0</v>
      </c>
      <c r="E37" s="22">
        <v>0</v>
      </c>
      <c r="F37" s="22">
        <v>0</v>
      </c>
      <c r="G37" s="22">
        <v>0</v>
      </c>
      <c r="H37" s="21">
        <v>0</v>
      </c>
      <c r="I37" s="21"/>
      <c r="J37" s="21">
        <v>0</v>
      </c>
      <c r="K37" s="21">
        <v>0</v>
      </c>
      <c r="L37" s="22">
        <f t="shared" si="2"/>
        <v>0</v>
      </c>
    </row>
    <row r="38" spans="1:12" x14ac:dyDescent="0.25">
      <c r="A38" t="s">
        <v>3301</v>
      </c>
      <c r="B38" t="s">
        <v>3302</v>
      </c>
      <c r="C38" s="27">
        <v>0</v>
      </c>
      <c r="D38" s="22">
        <v>0</v>
      </c>
      <c r="E38" s="22">
        <v>0</v>
      </c>
      <c r="F38" s="22">
        <v>0</v>
      </c>
      <c r="G38" s="22">
        <v>0</v>
      </c>
      <c r="H38" s="21">
        <v>0</v>
      </c>
      <c r="I38" s="21"/>
      <c r="J38" s="21">
        <v>0</v>
      </c>
      <c r="K38" s="21">
        <v>0</v>
      </c>
      <c r="L38" s="22">
        <f t="shared" si="2"/>
        <v>0</v>
      </c>
    </row>
    <row r="39" spans="1:12" x14ac:dyDescent="0.25">
      <c r="C39" s="27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5">
      <c r="C40" s="27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5">
      <c r="A41" t="s">
        <v>109</v>
      </c>
      <c r="C41" s="27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5">
      <c r="B42" t="s">
        <v>3303</v>
      </c>
      <c r="C42" s="27">
        <f>SUM(C31:C38)</f>
        <v>2695932</v>
      </c>
      <c r="D42" s="22">
        <f t="shared" ref="D42:H42" si="3">SUM(D31:D38)</f>
        <v>2764673</v>
      </c>
      <c r="E42" s="22">
        <f t="shared" si="3"/>
        <v>2727742</v>
      </c>
      <c r="F42" s="22">
        <f t="shared" si="3"/>
        <v>4493771</v>
      </c>
      <c r="G42" s="22">
        <f>SUM(G31:G38)</f>
        <v>4471029.42</v>
      </c>
      <c r="H42" s="22">
        <f t="shared" si="3"/>
        <v>4450000</v>
      </c>
      <c r="I42" s="22"/>
      <c r="J42" s="22">
        <f>SUM(J31:J38)</f>
        <v>4335281</v>
      </c>
      <c r="K42" s="22">
        <f>SUM(K31:K38)</f>
        <v>0</v>
      </c>
      <c r="L42" s="22">
        <f>SUM(L31:L38)</f>
        <v>4335281</v>
      </c>
    </row>
    <row r="43" spans="1:12" x14ac:dyDescent="0.25">
      <c r="C43" s="27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5">
      <c r="C44" s="27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5">
      <c r="C45" s="27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5">
      <c r="A46" t="s">
        <v>3542</v>
      </c>
      <c r="C46" s="27">
        <f>C27+C42</f>
        <v>2701835</v>
      </c>
      <c r="D46" s="22">
        <f t="shared" ref="D46:H46" si="4">D27+D42</f>
        <v>2808258</v>
      </c>
      <c r="E46" s="22">
        <f t="shared" si="4"/>
        <v>2795826</v>
      </c>
      <c r="F46" s="22">
        <f t="shared" si="4"/>
        <v>4536148</v>
      </c>
      <c r="G46" s="22">
        <f t="shared" si="4"/>
        <v>4505771.88</v>
      </c>
      <c r="H46" s="22">
        <f t="shared" si="4"/>
        <v>4493000</v>
      </c>
      <c r="I46" s="22"/>
      <c r="J46" s="22">
        <f>J27+J42</f>
        <v>4375281</v>
      </c>
      <c r="K46" s="22">
        <f>K27+K42</f>
        <v>0</v>
      </c>
      <c r="L46" s="22">
        <f>L27+L42</f>
        <v>4375281</v>
      </c>
    </row>
    <row r="47" spans="1:12" x14ac:dyDescent="0.25">
      <c r="C47" s="27"/>
      <c r="D47" s="22"/>
      <c r="E47" s="22"/>
      <c r="F47" s="22"/>
      <c r="G47" s="22"/>
      <c r="H47" s="22"/>
      <c r="I47" s="22"/>
      <c r="J47" s="22"/>
      <c r="K47" s="22"/>
      <c r="L47" s="22"/>
    </row>
    <row r="48" spans="1:12" x14ac:dyDescent="0.25">
      <c r="C48" s="27"/>
      <c r="D48" s="22"/>
      <c r="E48" s="22"/>
      <c r="F48" s="22"/>
      <c r="G48" s="22"/>
      <c r="H48" s="22"/>
      <c r="I48" s="22"/>
      <c r="J48" s="22"/>
      <c r="K48" s="22"/>
      <c r="L48" s="22"/>
    </row>
    <row r="49" spans="1:12" x14ac:dyDescent="0.25">
      <c r="A49" t="s">
        <v>478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x14ac:dyDescent="0.25">
      <c r="A50" t="s">
        <v>18</v>
      </c>
      <c r="B50" t="s">
        <v>21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1:12" x14ac:dyDescent="0.25">
      <c r="A51" t="s">
        <v>3309</v>
      </c>
      <c r="B51" t="s">
        <v>710</v>
      </c>
      <c r="C51" s="22">
        <v>2650</v>
      </c>
      <c r="D51" s="22">
        <v>3000</v>
      </c>
      <c r="E51" s="22">
        <v>2800</v>
      </c>
      <c r="F51" s="22">
        <v>8000</v>
      </c>
      <c r="G51" s="22">
        <v>6150</v>
      </c>
      <c r="H51" s="21">
        <v>8000</v>
      </c>
      <c r="I51" s="21"/>
      <c r="J51" s="21">
        <v>0</v>
      </c>
      <c r="K51" s="21">
        <v>0</v>
      </c>
      <c r="L51" s="22">
        <f>SUM(J51+K51)</f>
        <v>0</v>
      </c>
    </row>
    <row r="52" spans="1:12" x14ac:dyDescent="0.25"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x14ac:dyDescent="0.25"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x14ac:dyDescent="0.25">
      <c r="A54" t="s">
        <v>109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x14ac:dyDescent="0.25">
      <c r="B55" t="s">
        <v>478</v>
      </c>
      <c r="C55" s="22">
        <f>SUM(C51:C51)</f>
        <v>2650</v>
      </c>
      <c r="D55" s="22">
        <f t="shared" ref="D55:H55" si="5">SUM(D51:D51)</f>
        <v>3000</v>
      </c>
      <c r="E55" s="22">
        <f t="shared" si="5"/>
        <v>2800</v>
      </c>
      <c r="F55" s="22">
        <f t="shared" si="5"/>
        <v>8000</v>
      </c>
      <c r="G55" s="22">
        <f t="shared" si="5"/>
        <v>6150</v>
      </c>
      <c r="H55" s="22">
        <f t="shared" si="5"/>
        <v>8000</v>
      </c>
      <c r="I55" s="22"/>
      <c r="J55" s="22">
        <f>SUM(J51:J51)</f>
        <v>0</v>
      </c>
      <c r="K55" s="22">
        <f>SUM(K51:K51)</f>
        <v>0</v>
      </c>
      <c r="L55" s="22">
        <f>SUM(L51:L51)</f>
        <v>0</v>
      </c>
    </row>
    <row r="56" spans="1:12" x14ac:dyDescent="0.25"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x14ac:dyDescent="0.25">
      <c r="A57" t="s">
        <v>3308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x14ac:dyDescent="0.25">
      <c r="A58" t="s">
        <v>18</v>
      </c>
      <c r="B58" t="s">
        <v>320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hidden="1" x14ac:dyDescent="0.25">
      <c r="A59" t="s">
        <v>3310</v>
      </c>
      <c r="B59" t="s">
        <v>3311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1">
        <v>0</v>
      </c>
      <c r="I59" s="21"/>
      <c r="J59" s="21">
        <v>0</v>
      </c>
      <c r="K59" s="21">
        <v>0</v>
      </c>
      <c r="L59" s="22">
        <f>SUM(J59+K59)</f>
        <v>0</v>
      </c>
    </row>
    <row r="60" spans="1:12" hidden="1" x14ac:dyDescent="0.25">
      <c r="A60" t="s">
        <v>3312</v>
      </c>
      <c r="B60" t="s">
        <v>3313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1">
        <v>0</v>
      </c>
      <c r="I60" s="21"/>
      <c r="J60" s="21">
        <v>0</v>
      </c>
      <c r="K60" s="21">
        <v>0</v>
      </c>
      <c r="L60" s="22">
        <f t="shared" ref="L60:L62" si="6">SUM(J60+K60)</f>
        <v>0</v>
      </c>
    </row>
    <row r="61" spans="1:12" x14ac:dyDescent="0.25">
      <c r="A61" t="s">
        <v>3314</v>
      </c>
      <c r="B61" t="s">
        <v>3315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1">
        <v>0</v>
      </c>
      <c r="I61" s="21"/>
      <c r="J61" s="21">
        <v>0</v>
      </c>
      <c r="K61" s="21">
        <v>0</v>
      </c>
      <c r="L61" s="22">
        <f t="shared" si="6"/>
        <v>0</v>
      </c>
    </row>
    <row r="62" spans="1:12" x14ac:dyDescent="0.25">
      <c r="A62" t="s">
        <v>3316</v>
      </c>
      <c r="B62" t="s">
        <v>3276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1">
        <v>0</v>
      </c>
      <c r="I62" s="21"/>
      <c r="J62" s="21">
        <v>0</v>
      </c>
      <c r="K62" s="21">
        <v>0</v>
      </c>
      <c r="L62" s="22">
        <f t="shared" si="6"/>
        <v>0</v>
      </c>
    </row>
    <row r="63" spans="1:12" x14ac:dyDescent="0.25"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1:12" x14ac:dyDescent="0.25"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x14ac:dyDescent="0.25">
      <c r="A65" t="s">
        <v>109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1:12" x14ac:dyDescent="0.25">
      <c r="B66" t="s">
        <v>3308</v>
      </c>
      <c r="C66" s="22">
        <f>SUM(C59:C62)</f>
        <v>0</v>
      </c>
      <c r="D66" s="22">
        <f>SUM(D59:D62)</f>
        <v>0</v>
      </c>
      <c r="E66" s="22">
        <f t="shared" ref="E66:H66" si="7">SUM(E59:E62)</f>
        <v>0</v>
      </c>
      <c r="F66" s="22">
        <f t="shared" si="7"/>
        <v>0</v>
      </c>
      <c r="G66" s="22">
        <f t="shared" si="7"/>
        <v>0</v>
      </c>
      <c r="H66" s="22">
        <f t="shared" si="7"/>
        <v>0</v>
      </c>
      <c r="I66" s="22"/>
      <c r="J66" s="22">
        <f>SUM(J59:J62)</f>
        <v>0</v>
      </c>
      <c r="K66" s="22">
        <f>SUM(K59:K62)</f>
        <v>0</v>
      </c>
      <c r="L66" s="22">
        <f>SUM(L59:L62)</f>
        <v>0</v>
      </c>
    </row>
    <row r="67" spans="1:12" x14ac:dyDescent="0.25"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1:12" x14ac:dyDescent="0.25">
      <c r="A68" t="s">
        <v>3322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1:12" x14ac:dyDescent="0.25">
      <c r="A69" t="s">
        <v>18</v>
      </c>
      <c r="B69" t="s">
        <v>339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x14ac:dyDescent="0.25">
      <c r="A70" t="s">
        <v>1902</v>
      </c>
      <c r="B70" t="s">
        <v>3319</v>
      </c>
      <c r="C70" s="22">
        <v>0</v>
      </c>
      <c r="D70" s="22">
        <v>0</v>
      </c>
      <c r="E70" s="22">
        <v>9500</v>
      </c>
      <c r="F70" s="22">
        <v>0</v>
      </c>
      <c r="G70" s="22">
        <v>0</v>
      </c>
      <c r="H70" s="21">
        <v>0</v>
      </c>
      <c r="I70" s="21"/>
      <c r="J70" s="21">
        <v>0</v>
      </c>
      <c r="K70" s="21">
        <v>0</v>
      </c>
      <c r="L70" s="22">
        <f>SUM(J70+K70)</f>
        <v>0</v>
      </c>
    </row>
    <row r="71" spans="1:12" x14ac:dyDescent="0.25">
      <c r="A71" t="s">
        <v>3320</v>
      </c>
      <c r="B71" t="s">
        <v>3321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1">
        <v>0</v>
      </c>
      <c r="I71" s="21"/>
      <c r="J71" s="21">
        <v>0</v>
      </c>
      <c r="K71" s="21">
        <v>0</v>
      </c>
      <c r="L71" s="22">
        <f>SUM(J71+K71)</f>
        <v>0</v>
      </c>
    </row>
    <row r="72" spans="1:12" x14ac:dyDescent="0.25"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x14ac:dyDescent="0.25"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x14ac:dyDescent="0.25">
      <c r="A74" t="s">
        <v>109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x14ac:dyDescent="0.25">
      <c r="B75" t="s">
        <v>3322</v>
      </c>
      <c r="C75" s="22">
        <f>SUM(C70:C71)</f>
        <v>0</v>
      </c>
      <c r="D75" s="22">
        <f t="shared" ref="D75:H75" si="8">SUM(D70:D71)</f>
        <v>0</v>
      </c>
      <c r="E75" s="22">
        <f t="shared" si="8"/>
        <v>9500</v>
      </c>
      <c r="F75" s="22">
        <f t="shared" si="8"/>
        <v>0</v>
      </c>
      <c r="G75" s="22">
        <f t="shared" si="8"/>
        <v>0</v>
      </c>
      <c r="H75" s="22">
        <f t="shared" si="8"/>
        <v>0</v>
      </c>
      <c r="I75" s="22"/>
      <c r="J75" s="22">
        <f>SUM(J70:J71)</f>
        <v>0</v>
      </c>
      <c r="K75" s="22">
        <f>SUM(K70:K71)</f>
        <v>0</v>
      </c>
      <c r="L75" s="22">
        <f>SUM(L70:L71)</f>
        <v>0</v>
      </c>
    </row>
    <row r="76" spans="1:12" x14ac:dyDescent="0.25"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x14ac:dyDescent="0.25">
      <c r="A77" t="s">
        <v>530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 x14ac:dyDescent="0.25">
      <c r="A78" t="s">
        <v>18</v>
      </c>
      <c r="B78" t="s">
        <v>526</v>
      </c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2" x14ac:dyDescent="0.25">
      <c r="A79" t="s">
        <v>3323</v>
      </c>
      <c r="B79" t="s">
        <v>3259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1">
        <v>0</v>
      </c>
      <c r="I79" s="21"/>
      <c r="J79" s="21">
        <v>0</v>
      </c>
      <c r="K79" s="21">
        <v>0</v>
      </c>
      <c r="L79" s="22">
        <f>SUM(J79+K79)</f>
        <v>0</v>
      </c>
    </row>
    <row r="80" spans="1:12" hidden="1" x14ac:dyDescent="0.25">
      <c r="A80" t="s">
        <v>3324</v>
      </c>
      <c r="B80" t="s">
        <v>3325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1">
        <v>0</v>
      </c>
      <c r="I80" s="21"/>
      <c r="J80" s="21">
        <v>0</v>
      </c>
      <c r="K80" s="21">
        <v>0</v>
      </c>
      <c r="L80" s="22">
        <f t="shared" ref="L80:L120" si="9">SUM(J80+K80)</f>
        <v>0</v>
      </c>
    </row>
    <row r="81" spans="1:12" hidden="1" x14ac:dyDescent="0.25">
      <c r="A81" t="s">
        <v>3326</v>
      </c>
      <c r="B81" t="s">
        <v>3327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1">
        <v>0</v>
      </c>
      <c r="I81" s="21"/>
      <c r="J81" s="21">
        <v>0</v>
      </c>
      <c r="K81" s="21">
        <v>0</v>
      </c>
      <c r="L81" s="22">
        <f t="shared" si="9"/>
        <v>0</v>
      </c>
    </row>
    <row r="82" spans="1:12" hidden="1" x14ac:dyDescent="0.25">
      <c r="A82" t="s">
        <v>3328</v>
      </c>
      <c r="B82" t="s">
        <v>3329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1">
        <v>0</v>
      </c>
      <c r="I82" s="21"/>
      <c r="J82" s="21">
        <v>0</v>
      </c>
      <c r="K82" s="21">
        <v>0</v>
      </c>
      <c r="L82" s="22">
        <f t="shared" si="9"/>
        <v>0</v>
      </c>
    </row>
    <row r="83" spans="1:12" hidden="1" x14ac:dyDescent="0.25">
      <c r="A83" t="s">
        <v>3330</v>
      </c>
      <c r="B83" t="s">
        <v>3331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1">
        <v>0</v>
      </c>
      <c r="I83" s="21"/>
      <c r="J83" s="21">
        <v>0</v>
      </c>
      <c r="K83" s="21">
        <v>0</v>
      </c>
      <c r="L83" s="22">
        <f t="shared" si="9"/>
        <v>0</v>
      </c>
    </row>
    <row r="84" spans="1:12" hidden="1" x14ac:dyDescent="0.25">
      <c r="A84" t="s">
        <v>3332</v>
      </c>
      <c r="B84" t="s">
        <v>3333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1">
        <v>0</v>
      </c>
      <c r="I84" s="21"/>
      <c r="J84" s="21">
        <v>0</v>
      </c>
      <c r="K84" s="21">
        <v>0</v>
      </c>
      <c r="L84" s="22">
        <f t="shared" si="9"/>
        <v>0</v>
      </c>
    </row>
    <row r="85" spans="1:12" hidden="1" x14ac:dyDescent="0.25">
      <c r="A85" t="s">
        <v>3334</v>
      </c>
      <c r="B85" t="s">
        <v>3335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1">
        <v>0</v>
      </c>
      <c r="I85" s="21"/>
      <c r="J85" s="21">
        <v>0</v>
      </c>
      <c r="K85" s="21">
        <v>0</v>
      </c>
      <c r="L85" s="22">
        <f t="shared" si="9"/>
        <v>0</v>
      </c>
    </row>
    <row r="86" spans="1:12" hidden="1" x14ac:dyDescent="0.25">
      <c r="A86" t="s">
        <v>3336</v>
      </c>
      <c r="B86" t="s">
        <v>3337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1">
        <v>0</v>
      </c>
      <c r="I86" s="21"/>
      <c r="J86" s="21">
        <v>0</v>
      </c>
      <c r="K86" s="21">
        <v>0</v>
      </c>
      <c r="L86" s="22">
        <f t="shared" si="9"/>
        <v>0</v>
      </c>
    </row>
    <row r="87" spans="1:12" hidden="1" x14ac:dyDescent="0.25">
      <c r="A87" t="s">
        <v>3338</v>
      </c>
      <c r="B87" t="s">
        <v>3339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1">
        <v>0</v>
      </c>
      <c r="I87" s="21"/>
      <c r="J87" s="21">
        <v>0</v>
      </c>
      <c r="K87" s="21">
        <v>0</v>
      </c>
      <c r="L87" s="22">
        <f t="shared" si="9"/>
        <v>0</v>
      </c>
    </row>
    <row r="88" spans="1:12" hidden="1" x14ac:dyDescent="0.25">
      <c r="A88" t="s">
        <v>3340</v>
      </c>
      <c r="B88" t="s">
        <v>3341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1">
        <v>0</v>
      </c>
      <c r="I88" s="21"/>
      <c r="J88" s="21">
        <v>0</v>
      </c>
      <c r="K88" s="21">
        <v>0</v>
      </c>
      <c r="L88" s="22">
        <f t="shared" si="9"/>
        <v>0</v>
      </c>
    </row>
    <row r="89" spans="1:12" hidden="1" x14ac:dyDescent="0.25">
      <c r="A89" t="s">
        <v>3342</v>
      </c>
      <c r="B89" t="s">
        <v>3343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1">
        <v>0</v>
      </c>
      <c r="I89" s="21"/>
      <c r="J89" s="21">
        <v>0</v>
      </c>
      <c r="K89" s="21">
        <v>0</v>
      </c>
      <c r="L89" s="22">
        <f t="shared" si="9"/>
        <v>0</v>
      </c>
    </row>
    <row r="90" spans="1:12" hidden="1" x14ac:dyDescent="0.25">
      <c r="A90" t="s">
        <v>3344</v>
      </c>
      <c r="B90" t="s">
        <v>3345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1">
        <v>0</v>
      </c>
      <c r="I90" s="21"/>
      <c r="J90" s="21">
        <v>0</v>
      </c>
      <c r="K90" s="21">
        <v>0</v>
      </c>
      <c r="L90" s="22">
        <f t="shared" si="9"/>
        <v>0</v>
      </c>
    </row>
    <row r="91" spans="1:12" hidden="1" x14ac:dyDescent="0.25">
      <c r="A91" t="s">
        <v>3346</v>
      </c>
      <c r="B91" t="s">
        <v>3347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1">
        <v>0</v>
      </c>
      <c r="I91" s="21"/>
      <c r="J91" s="21">
        <v>0</v>
      </c>
      <c r="K91" s="21">
        <v>0</v>
      </c>
      <c r="L91" s="22">
        <f t="shared" si="9"/>
        <v>0</v>
      </c>
    </row>
    <row r="92" spans="1:12" hidden="1" x14ac:dyDescent="0.25">
      <c r="A92" t="s">
        <v>3348</v>
      </c>
      <c r="B92" t="s">
        <v>3349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1">
        <v>0</v>
      </c>
      <c r="I92" s="21"/>
      <c r="J92" s="21">
        <v>0</v>
      </c>
      <c r="K92" s="21">
        <v>0</v>
      </c>
      <c r="L92" s="22">
        <f t="shared" si="9"/>
        <v>0</v>
      </c>
    </row>
    <row r="93" spans="1:12" hidden="1" x14ac:dyDescent="0.25">
      <c r="A93" t="s">
        <v>3350</v>
      </c>
      <c r="B93" t="s">
        <v>3351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1">
        <v>0</v>
      </c>
      <c r="I93" s="21"/>
      <c r="J93" s="21">
        <v>0</v>
      </c>
      <c r="K93" s="21">
        <v>0</v>
      </c>
      <c r="L93" s="22">
        <f t="shared" si="9"/>
        <v>0</v>
      </c>
    </row>
    <row r="94" spans="1:12" x14ac:dyDescent="0.25">
      <c r="A94" t="s">
        <v>3352</v>
      </c>
      <c r="B94" t="s">
        <v>3353</v>
      </c>
      <c r="C94" s="22">
        <v>380000</v>
      </c>
      <c r="D94" s="22">
        <v>395000</v>
      </c>
      <c r="E94" s="22">
        <v>415000</v>
      </c>
      <c r="F94" s="22">
        <v>435000</v>
      </c>
      <c r="G94" s="22">
        <v>435000</v>
      </c>
      <c r="H94" s="21">
        <v>435000</v>
      </c>
      <c r="I94" s="21"/>
      <c r="J94" s="21">
        <v>455000</v>
      </c>
      <c r="K94" s="21">
        <v>0</v>
      </c>
      <c r="L94" s="22">
        <f t="shared" si="9"/>
        <v>455000</v>
      </c>
    </row>
    <row r="95" spans="1:12" x14ac:dyDescent="0.25">
      <c r="A95" t="s">
        <v>3354</v>
      </c>
      <c r="B95" t="s">
        <v>3355</v>
      </c>
      <c r="C95" s="22">
        <v>97675</v>
      </c>
      <c r="D95" s="22">
        <v>81671</v>
      </c>
      <c r="E95" s="22">
        <v>64944</v>
      </c>
      <c r="F95" s="22">
        <v>47392</v>
      </c>
      <c r="G95" s="22">
        <v>28187.25</v>
      </c>
      <c r="H95" s="21">
        <v>47392</v>
      </c>
      <c r="I95" s="21"/>
      <c r="J95" s="21">
        <v>29013.25</v>
      </c>
      <c r="K95" s="21">
        <v>0</v>
      </c>
      <c r="L95" s="22">
        <f t="shared" si="9"/>
        <v>29013.25</v>
      </c>
    </row>
    <row r="96" spans="1:12" x14ac:dyDescent="0.25">
      <c r="A96" t="s">
        <v>3356</v>
      </c>
      <c r="B96" t="s">
        <v>3357</v>
      </c>
      <c r="C96" s="22">
        <v>111000</v>
      </c>
      <c r="D96" s="22">
        <v>115000</v>
      </c>
      <c r="E96" s="22">
        <v>119000</v>
      </c>
      <c r="F96" s="22">
        <v>124000</v>
      </c>
      <c r="G96" s="22">
        <v>124000</v>
      </c>
      <c r="H96" s="21">
        <v>124000</v>
      </c>
      <c r="I96" s="21"/>
      <c r="J96" s="21">
        <v>129000</v>
      </c>
      <c r="K96" s="21">
        <v>0</v>
      </c>
      <c r="L96" s="22">
        <f t="shared" si="9"/>
        <v>129000</v>
      </c>
    </row>
    <row r="97" spans="1:12" x14ac:dyDescent="0.25">
      <c r="A97" t="s">
        <v>3358</v>
      </c>
      <c r="B97" t="s">
        <v>3359</v>
      </c>
      <c r="C97" s="22">
        <v>31560</v>
      </c>
      <c r="D97" s="22">
        <v>27187</v>
      </c>
      <c r="E97" s="22">
        <v>22659</v>
      </c>
      <c r="F97" s="22">
        <v>17957</v>
      </c>
      <c r="G97" s="22">
        <v>10178.1</v>
      </c>
      <c r="H97" s="21">
        <v>17957</v>
      </c>
      <c r="I97" s="21"/>
      <c r="J97" s="21">
        <v>13061.25</v>
      </c>
      <c r="K97" s="21">
        <v>0</v>
      </c>
      <c r="L97" s="22">
        <f t="shared" si="9"/>
        <v>13061.25</v>
      </c>
    </row>
    <row r="98" spans="1:12" hidden="1" x14ac:dyDescent="0.25">
      <c r="A98" t="s">
        <v>3360</v>
      </c>
      <c r="B98" t="s">
        <v>3361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1">
        <v>0</v>
      </c>
      <c r="I98" s="21"/>
      <c r="J98" s="21">
        <v>0</v>
      </c>
      <c r="K98" s="21">
        <v>0</v>
      </c>
      <c r="L98" s="22">
        <f t="shared" si="9"/>
        <v>0</v>
      </c>
    </row>
    <row r="99" spans="1:12" hidden="1" x14ac:dyDescent="0.25">
      <c r="A99" t="s">
        <v>3362</v>
      </c>
      <c r="B99" t="s">
        <v>3363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1">
        <v>0</v>
      </c>
      <c r="I99" s="21"/>
      <c r="J99" s="21">
        <v>0</v>
      </c>
      <c r="K99" s="21">
        <v>0</v>
      </c>
      <c r="L99" s="22">
        <f t="shared" si="9"/>
        <v>0</v>
      </c>
    </row>
    <row r="100" spans="1:12" hidden="1" x14ac:dyDescent="0.25">
      <c r="A100" t="s">
        <v>3364</v>
      </c>
      <c r="B100" t="s">
        <v>3365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1">
        <v>0</v>
      </c>
      <c r="I100" s="21"/>
      <c r="J100" s="21">
        <v>0</v>
      </c>
      <c r="K100" s="21">
        <v>0</v>
      </c>
      <c r="L100" s="22">
        <f t="shared" si="9"/>
        <v>0</v>
      </c>
    </row>
    <row r="101" spans="1:12" hidden="1" x14ac:dyDescent="0.25">
      <c r="A101" t="s">
        <v>3366</v>
      </c>
      <c r="B101" t="s">
        <v>3367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1">
        <v>0</v>
      </c>
      <c r="I101" s="21"/>
      <c r="J101" s="21">
        <v>0</v>
      </c>
      <c r="K101" s="21">
        <v>0</v>
      </c>
      <c r="L101" s="22">
        <f t="shared" si="9"/>
        <v>0</v>
      </c>
    </row>
    <row r="102" spans="1:12" x14ac:dyDescent="0.25">
      <c r="A102" t="s">
        <v>3368</v>
      </c>
      <c r="B102" t="s">
        <v>3369</v>
      </c>
      <c r="C102" s="22">
        <v>450000</v>
      </c>
      <c r="D102" s="22">
        <v>465000</v>
      </c>
      <c r="E102" s="22">
        <v>0</v>
      </c>
      <c r="F102" s="22">
        <v>0</v>
      </c>
      <c r="G102" s="22">
        <v>0</v>
      </c>
      <c r="H102" s="21">
        <v>0</v>
      </c>
      <c r="I102" s="21"/>
      <c r="J102" s="21">
        <v>0</v>
      </c>
      <c r="K102" s="21">
        <v>0</v>
      </c>
      <c r="L102" s="22">
        <f t="shared" si="9"/>
        <v>0</v>
      </c>
    </row>
    <row r="103" spans="1:12" x14ac:dyDescent="0.25">
      <c r="A103" t="s">
        <v>3370</v>
      </c>
      <c r="B103" t="s">
        <v>3371</v>
      </c>
      <c r="C103" s="22">
        <v>20700</v>
      </c>
      <c r="D103" s="22">
        <v>6975</v>
      </c>
      <c r="E103" s="22">
        <v>0</v>
      </c>
      <c r="F103" s="22">
        <v>0</v>
      </c>
      <c r="G103" s="22">
        <v>0</v>
      </c>
      <c r="H103" s="21">
        <v>0</v>
      </c>
      <c r="I103" s="21"/>
      <c r="J103" s="21">
        <v>0</v>
      </c>
      <c r="K103" s="21">
        <v>0</v>
      </c>
      <c r="L103" s="22">
        <f t="shared" si="9"/>
        <v>0</v>
      </c>
    </row>
    <row r="104" spans="1:12" x14ac:dyDescent="0.25">
      <c r="A104" t="s">
        <v>3372</v>
      </c>
      <c r="B104" t="s">
        <v>3373</v>
      </c>
      <c r="C104" s="22">
        <v>30000</v>
      </c>
      <c r="D104" s="22">
        <v>30000</v>
      </c>
      <c r="E104" s="22">
        <v>110000</v>
      </c>
      <c r="F104" s="22">
        <v>110000</v>
      </c>
      <c r="G104" s="22">
        <v>110000</v>
      </c>
      <c r="H104" s="21">
        <v>110000</v>
      </c>
      <c r="I104" s="21"/>
      <c r="J104" s="21">
        <v>115000</v>
      </c>
      <c r="K104" s="21">
        <v>0</v>
      </c>
      <c r="L104" s="22">
        <f t="shared" si="9"/>
        <v>115000</v>
      </c>
    </row>
    <row r="105" spans="1:12" x14ac:dyDescent="0.25">
      <c r="A105" t="s">
        <v>3374</v>
      </c>
      <c r="B105" t="s">
        <v>3375</v>
      </c>
      <c r="C105" s="22">
        <v>302275</v>
      </c>
      <c r="D105" s="22">
        <v>301375</v>
      </c>
      <c r="E105" s="22">
        <v>299275</v>
      </c>
      <c r="F105" s="22">
        <v>295425</v>
      </c>
      <c r="G105" s="22">
        <v>148812.5</v>
      </c>
      <c r="H105" s="21">
        <v>295425</v>
      </c>
      <c r="I105" s="21"/>
      <c r="J105" s="21">
        <v>290925</v>
      </c>
      <c r="K105" s="21">
        <v>0</v>
      </c>
      <c r="L105" s="22">
        <f t="shared" si="9"/>
        <v>290925</v>
      </c>
    </row>
    <row r="106" spans="1:12" x14ac:dyDescent="0.25">
      <c r="A106" t="s">
        <v>3376</v>
      </c>
      <c r="B106" t="s">
        <v>3377</v>
      </c>
      <c r="C106" s="22">
        <v>40000</v>
      </c>
      <c r="D106" s="22">
        <v>40000</v>
      </c>
      <c r="E106" s="22">
        <v>440000</v>
      </c>
      <c r="F106" s="22">
        <v>460000</v>
      </c>
      <c r="G106" s="22">
        <v>460000</v>
      </c>
      <c r="H106" s="21">
        <v>460000</v>
      </c>
      <c r="I106" s="21"/>
      <c r="J106" s="21">
        <v>475000</v>
      </c>
      <c r="K106" s="21">
        <v>0</v>
      </c>
      <c r="L106" s="22">
        <f t="shared" si="9"/>
        <v>475000</v>
      </c>
    </row>
    <row r="107" spans="1:12" x14ac:dyDescent="0.25">
      <c r="A107" t="s">
        <v>3378</v>
      </c>
      <c r="B107" t="s">
        <v>3379</v>
      </c>
      <c r="C107" s="22">
        <v>263800</v>
      </c>
      <c r="D107" s="22">
        <v>262200</v>
      </c>
      <c r="E107" s="22">
        <v>252600</v>
      </c>
      <c r="F107" s="22">
        <v>234600</v>
      </c>
      <c r="G107" s="22">
        <v>121900</v>
      </c>
      <c r="H107" s="21">
        <v>234600</v>
      </c>
      <c r="I107" s="21"/>
      <c r="J107" s="21">
        <v>215900</v>
      </c>
      <c r="K107" s="21">
        <v>0</v>
      </c>
      <c r="L107" s="22">
        <f t="shared" si="9"/>
        <v>215900</v>
      </c>
    </row>
    <row r="108" spans="1:12" hidden="1" x14ac:dyDescent="0.25">
      <c r="A108" t="s">
        <v>3380</v>
      </c>
      <c r="B108" t="s">
        <v>3381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1">
        <v>0</v>
      </c>
      <c r="I108" s="21"/>
      <c r="J108" s="21">
        <v>0</v>
      </c>
      <c r="K108" s="21">
        <v>0</v>
      </c>
      <c r="L108" s="22">
        <f t="shared" si="9"/>
        <v>0</v>
      </c>
    </row>
    <row r="109" spans="1:12" hidden="1" x14ac:dyDescent="0.25">
      <c r="A109" t="s">
        <v>3382</v>
      </c>
      <c r="B109" t="s">
        <v>3383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1">
        <v>0</v>
      </c>
      <c r="I109" s="21"/>
      <c r="J109" s="21">
        <v>0</v>
      </c>
      <c r="K109" s="21">
        <v>0</v>
      </c>
      <c r="L109" s="22">
        <f t="shared" si="9"/>
        <v>0</v>
      </c>
    </row>
    <row r="110" spans="1:12" hidden="1" x14ac:dyDescent="0.25">
      <c r="A110" t="s">
        <v>3384</v>
      </c>
      <c r="B110" t="s">
        <v>3385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1">
        <v>0</v>
      </c>
      <c r="I110" s="21"/>
      <c r="J110" s="21">
        <v>0</v>
      </c>
      <c r="K110" s="21">
        <v>0</v>
      </c>
      <c r="L110" s="22">
        <f t="shared" si="9"/>
        <v>0</v>
      </c>
    </row>
    <row r="111" spans="1:12" hidden="1" x14ac:dyDescent="0.25">
      <c r="A111" t="s">
        <v>3386</v>
      </c>
      <c r="B111" t="s">
        <v>3387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  <c r="H111" s="21">
        <v>0</v>
      </c>
      <c r="I111" s="21"/>
      <c r="J111" s="21">
        <v>0</v>
      </c>
      <c r="K111" s="21">
        <v>0</v>
      </c>
      <c r="L111" s="22">
        <f t="shared" si="9"/>
        <v>0</v>
      </c>
    </row>
    <row r="112" spans="1:12" x14ac:dyDescent="0.25">
      <c r="A112" t="s">
        <v>3388</v>
      </c>
      <c r="B112" t="s">
        <v>3389</v>
      </c>
      <c r="C112" s="22">
        <v>100000</v>
      </c>
      <c r="D112" s="22">
        <v>105000</v>
      </c>
      <c r="E112" s="22">
        <v>100000</v>
      </c>
      <c r="F112" s="22">
        <v>100000</v>
      </c>
      <c r="G112" s="22">
        <v>100000</v>
      </c>
      <c r="H112" s="21">
        <v>100000</v>
      </c>
      <c r="I112" s="21"/>
      <c r="J112" s="21">
        <v>100000</v>
      </c>
      <c r="K112" s="21">
        <v>0</v>
      </c>
      <c r="L112" s="22">
        <f t="shared" si="9"/>
        <v>100000</v>
      </c>
    </row>
    <row r="113" spans="1:12" x14ac:dyDescent="0.25">
      <c r="A113" t="s">
        <v>2603</v>
      </c>
      <c r="B113" t="s">
        <v>2604</v>
      </c>
      <c r="C113" s="22">
        <v>63250</v>
      </c>
      <c r="D113" s="22">
        <v>60175</v>
      </c>
      <c r="E113" s="22">
        <v>57100</v>
      </c>
      <c r="F113" s="22">
        <v>54100</v>
      </c>
      <c r="G113" s="22">
        <v>27800</v>
      </c>
      <c r="H113" s="21">
        <v>54100</v>
      </c>
      <c r="I113" s="21"/>
      <c r="J113" s="21">
        <v>51100</v>
      </c>
      <c r="K113" s="21">
        <v>0</v>
      </c>
      <c r="L113" s="22">
        <f t="shared" si="9"/>
        <v>51100</v>
      </c>
    </row>
    <row r="114" spans="1:12" x14ac:dyDescent="0.25">
      <c r="A114" t="s">
        <v>3390</v>
      </c>
      <c r="B114" t="s">
        <v>3391</v>
      </c>
      <c r="C114" s="22">
        <v>175000</v>
      </c>
      <c r="D114" s="22">
        <v>180000</v>
      </c>
      <c r="E114" s="22">
        <v>195000</v>
      </c>
      <c r="F114" s="22">
        <v>200000</v>
      </c>
      <c r="G114" s="22">
        <v>200000</v>
      </c>
      <c r="H114" s="21">
        <v>200000</v>
      </c>
      <c r="I114" s="21"/>
      <c r="J114" s="21">
        <v>205000</v>
      </c>
      <c r="K114" s="21">
        <v>0</v>
      </c>
      <c r="L114" s="22">
        <f t="shared" si="9"/>
        <v>205000</v>
      </c>
    </row>
    <row r="115" spans="1:12" x14ac:dyDescent="0.25">
      <c r="A115" t="s">
        <v>2605</v>
      </c>
      <c r="B115" t="s">
        <v>2606</v>
      </c>
      <c r="C115" s="22">
        <v>122007</v>
      </c>
      <c r="D115" s="22">
        <v>117912</v>
      </c>
      <c r="E115" s="22">
        <v>112956</v>
      </c>
      <c r="F115" s="22">
        <v>107297</v>
      </c>
      <c r="G115" s="22">
        <v>55093.63</v>
      </c>
      <c r="H115" s="21">
        <v>107297</v>
      </c>
      <c r="I115" s="21"/>
      <c r="J115" s="21">
        <v>101393.76</v>
      </c>
      <c r="K115" s="21">
        <v>0</v>
      </c>
      <c r="L115" s="22">
        <f t="shared" si="9"/>
        <v>101393.76</v>
      </c>
    </row>
    <row r="116" spans="1:12" x14ac:dyDescent="0.25">
      <c r="A116" t="s">
        <v>3392</v>
      </c>
      <c r="B116" t="s">
        <v>3393</v>
      </c>
      <c r="C116" s="22">
        <v>245000</v>
      </c>
      <c r="D116" s="22">
        <v>255000</v>
      </c>
      <c r="E116" s="22">
        <v>260000</v>
      </c>
      <c r="F116" s="22">
        <v>270000</v>
      </c>
      <c r="G116" s="22">
        <v>270000</v>
      </c>
      <c r="H116" s="21">
        <v>270000</v>
      </c>
      <c r="I116" s="21"/>
      <c r="J116" s="21">
        <v>285000</v>
      </c>
      <c r="K116" s="21">
        <v>0</v>
      </c>
      <c r="L116" s="22">
        <f t="shared" si="9"/>
        <v>285000</v>
      </c>
    </row>
    <row r="117" spans="1:12" x14ac:dyDescent="0.25">
      <c r="A117" t="s">
        <v>2607</v>
      </c>
      <c r="B117" t="s">
        <v>2608</v>
      </c>
      <c r="C117" s="22">
        <v>244363</v>
      </c>
      <c r="D117" s="22">
        <v>236863</v>
      </c>
      <c r="E117" s="22">
        <v>227838</v>
      </c>
      <c r="F117" s="22">
        <v>217238</v>
      </c>
      <c r="G117" s="22">
        <v>111318.75</v>
      </c>
      <c r="H117" s="21">
        <v>217238</v>
      </c>
      <c r="I117" s="21"/>
      <c r="J117" s="21">
        <v>206137.5</v>
      </c>
      <c r="K117" s="21">
        <v>0</v>
      </c>
      <c r="L117" s="22">
        <f t="shared" si="9"/>
        <v>206137.5</v>
      </c>
    </row>
    <row r="118" spans="1:12" x14ac:dyDescent="0.25">
      <c r="A118" t="s">
        <v>3394</v>
      </c>
      <c r="B118" t="s">
        <v>3395</v>
      </c>
      <c r="C118" s="22">
        <v>0</v>
      </c>
      <c r="D118" s="22">
        <v>0</v>
      </c>
      <c r="E118" s="22">
        <v>0</v>
      </c>
      <c r="F118" s="22">
        <v>100000</v>
      </c>
      <c r="G118" s="22">
        <v>100000</v>
      </c>
      <c r="H118" s="21">
        <v>100000</v>
      </c>
      <c r="I118" s="21"/>
      <c r="J118" s="21">
        <v>520000</v>
      </c>
      <c r="K118" s="21">
        <v>0</v>
      </c>
      <c r="L118" s="22">
        <f t="shared" si="9"/>
        <v>520000</v>
      </c>
    </row>
    <row r="119" spans="1:12" x14ac:dyDescent="0.25">
      <c r="A119" t="s">
        <v>3396</v>
      </c>
      <c r="B119" t="s">
        <v>3397</v>
      </c>
      <c r="C119" s="22">
        <v>0</v>
      </c>
      <c r="D119" s="22">
        <v>0</v>
      </c>
      <c r="E119" s="22">
        <v>0</v>
      </c>
      <c r="F119" s="22">
        <v>1720763</v>
      </c>
      <c r="G119" s="22">
        <v>1142387.49</v>
      </c>
      <c r="H119" s="21">
        <v>1720763</v>
      </c>
      <c r="I119" s="21"/>
      <c r="J119" s="21">
        <v>1143750</v>
      </c>
      <c r="K119" s="21">
        <v>0</v>
      </c>
      <c r="L119" s="22">
        <f t="shared" si="9"/>
        <v>1143750</v>
      </c>
    </row>
    <row r="120" spans="1:12" x14ac:dyDescent="0.25">
      <c r="A120" t="s">
        <v>3398</v>
      </c>
      <c r="B120" t="s">
        <v>3321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1">
        <v>0</v>
      </c>
      <c r="I120" s="21"/>
      <c r="J120" s="21">
        <v>0</v>
      </c>
      <c r="K120" s="21">
        <v>0</v>
      </c>
      <c r="L120" s="22">
        <f t="shared" si="9"/>
        <v>0</v>
      </c>
    </row>
    <row r="121" spans="1:12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</row>
    <row r="122" spans="1:12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1:12" x14ac:dyDescent="0.25">
      <c r="A123" t="s">
        <v>109</v>
      </c>
      <c r="C123" s="22"/>
      <c r="D123" s="22"/>
      <c r="E123" s="22"/>
      <c r="F123" s="22"/>
      <c r="G123" s="22"/>
      <c r="H123" s="22"/>
      <c r="I123" s="22"/>
      <c r="J123" s="22"/>
      <c r="K123" s="22"/>
      <c r="L123" s="22"/>
    </row>
    <row r="124" spans="1:12" x14ac:dyDescent="0.25">
      <c r="B124" t="s">
        <v>530</v>
      </c>
      <c r="C124" s="22">
        <f>SUM(C79:C120)</f>
        <v>2676630</v>
      </c>
      <c r="D124" s="22">
        <f t="shared" ref="D124:H124" si="10">SUM(D79:D120)</f>
        <v>2679358</v>
      </c>
      <c r="E124" s="22">
        <f t="shared" si="10"/>
        <v>2676372</v>
      </c>
      <c r="F124" s="22">
        <f t="shared" si="10"/>
        <v>4493772</v>
      </c>
      <c r="G124" s="22">
        <f t="shared" si="10"/>
        <v>3444677.7199999997</v>
      </c>
      <c r="H124" s="22">
        <f t="shared" si="10"/>
        <v>4493772</v>
      </c>
      <c r="I124" s="22"/>
      <c r="J124" s="22">
        <f>SUM(J79:J120)</f>
        <v>4335280.76</v>
      </c>
      <c r="K124" s="22">
        <f>SUM(K79:K120)</f>
        <v>0</v>
      </c>
      <c r="L124" s="22">
        <f>SUM(L79:L120)</f>
        <v>4335280.76</v>
      </c>
    </row>
    <row r="125" spans="1:12" x14ac:dyDescent="0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</row>
    <row r="126" spans="1:12" x14ac:dyDescent="0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</row>
    <row r="127" spans="1:12" x14ac:dyDescent="0.25">
      <c r="A127" t="s">
        <v>109</v>
      </c>
      <c r="C127" s="22"/>
      <c r="D127" s="22"/>
      <c r="E127" s="22"/>
      <c r="F127" s="22"/>
      <c r="G127" s="22"/>
      <c r="H127" s="22"/>
      <c r="I127" s="22"/>
      <c r="J127" s="22"/>
      <c r="K127" s="22"/>
      <c r="L127" s="22"/>
    </row>
    <row r="128" spans="1:12" x14ac:dyDescent="0.25">
      <c r="A128">
        <v>85</v>
      </c>
      <c r="B128" t="s">
        <v>3779</v>
      </c>
      <c r="C128" s="22">
        <f>C55+C66+C75+C124</f>
        <v>2679280</v>
      </c>
      <c r="D128" s="22">
        <f t="shared" ref="D128:H128" si="11">D55+D66+D75+D124</f>
        <v>2682358</v>
      </c>
      <c r="E128" s="22">
        <f t="shared" si="11"/>
        <v>2688672</v>
      </c>
      <c r="F128" s="22">
        <f t="shared" si="11"/>
        <v>4501772</v>
      </c>
      <c r="G128" s="22">
        <f t="shared" si="11"/>
        <v>3450827.7199999997</v>
      </c>
      <c r="H128" s="22">
        <f t="shared" si="11"/>
        <v>4501772</v>
      </c>
      <c r="I128" s="22"/>
      <c r="J128" s="22">
        <f>J55+J66+J75+J124</f>
        <v>4335280.76</v>
      </c>
      <c r="K128" s="22">
        <f>K55+K66+K75+K124</f>
        <v>0</v>
      </c>
      <c r="L128" s="22">
        <f>L55+L66+L75+L124</f>
        <v>4335280.76</v>
      </c>
    </row>
    <row r="129" spans="1:12" x14ac:dyDescent="0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</row>
    <row r="130" spans="1:12" x14ac:dyDescent="0.25">
      <c r="C130" s="22"/>
      <c r="D130" s="22"/>
      <c r="E130" s="22"/>
      <c r="F130" s="22"/>
      <c r="G130" s="22"/>
      <c r="H130" s="22"/>
      <c r="I130" s="22"/>
      <c r="J130" s="22"/>
      <c r="K130" s="22"/>
      <c r="L130" s="22"/>
    </row>
    <row r="131" spans="1:12" x14ac:dyDescent="0.25">
      <c r="C131" s="22"/>
      <c r="D131" s="22"/>
      <c r="E131" s="22"/>
      <c r="F131" s="22"/>
      <c r="G131" s="22"/>
      <c r="H131" s="22"/>
      <c r="I131" s="22"/>
      <c r="J131" s="22"/>
      <c r="K131" s="22"/>
      <c r="L131" s="22"/>
    </row>
    <row r="132" spans="1:12" x14ac:dyDescent="0.25">
      <c r="A132" t="s">
        <v>3717</v>
      </c>
      <c r="C132" s="22">
        <f t="shared" ref="C132:H132" si="12">C128</f>
        <v>2679280</v>
      </c>
      <c r="D132" s="22">
        <f t="shared" si="12"/>
        <v>2682358</v>
      </c>
      <c r="E132" s="22">
        <f t="shared" si="12"/>
        <v>2688672</v>
      </c>
      <c r="F132" s="22">
        <f t="shared" si="12"/>
        <v>4501772</v>
      </c>
      <c r="G132" s="22">
        <f t="shared" si="12"/>
        <v>3450827.7199999997</v>
      </c>
      <c r="H132" s="22">
        <f t="shared" si="12"/>
        <v>4501772</v>
      </c>
      <c r="I132" s="22"/>
      <c r="J132" s="22">
        <f>J128</f>
        <v>4335280.76</v>
      </c>
      <c r="K132" s="22">
        <f>K128</f>
        <v>0</v>
      </c>
      <c r="L132" s="22">
        <f>J132+K132</f>
        <v>4335280.76</v>
      </c>
    </row>
    <row r="133" spans="1:12" x14ac:dyDescent="0.25">
      <c r="C133" s="22"/>
      <c r="D133" s="22"/>
      <c r="E133" s="22"/>
      <c r="F133" s="22"/>
      <c r="G133" s="22"/>
      <c r="H133" s="22"/>
      <c r="I133" s="22"/>
      <c r="J133" s="22"/>
      <c r="K133" s="22"/>
      <c r="L133" s="22"/>
    </row>
    <row r="134" spans="1:12" x14ac:dyDescent="0.25">
      <c r="C134" s="22"/>
      <c r="D134" s="22"/>
      <c r="E134" s="22"/>
      <c r="F134" s="22"/>
      <c r="G134" s="22"/>
      <c r="H134" s="22"/>
      <c r="I134" s="22"/>
      <c r="J134" s="22"/>
      <c r="K134" s="22"/>
      <c r="L134" s="22"/>
    </row>
    <row r="135" spans="1:12" x14ac:dyDescent="0.25">
      <c r="C135" s="22"/>
      <c r="D135" s="22"/>
      <c r="E135" s="22"/>
      <c r="F135" s="22"/>
      <c r="G135" s="22"/>
      <c r="H135" s="22"/>
      <c r="I135" s="22"/>
      <c r="J135" s="22"/>
      <c r="K135" s="22"/>
      <c r="L135" s="22"/>
    </row>
    <row r="136" spans="1:12" x14ac:dyDescent="0.25">
      <c r="C136" s="22"/>
      <c r="D136" s="22"/>
      <c r="E136" s="22"/>
      <c r="F136" s="22"/>
      <c r="G136" s="22"/>
      <c r="H136" s="22"/>
      <c r="I136" s="22"/>
      <c r="J136" s="22"/>
      <c r="K136" s="22"/>
      <c r="L136" s="22"/>
    </row>
    <row r="137" spans="1:12" x14ac:dyDescent="0.25">
      <c r="A137" t="s">
        <v>1611</v>
      </c>
      <c r="B137" t="s">
        <v>1612</v>
      </c>
      <c r="C137" s="22">
        <f>C46-C132</f>
        <v>22555</v>
      </c>
      <c r="D137" s="22">
        <f t="shared" ref="D137:H137" si="13">D46-D132</f>
        <v>125900</v>
      </c>
      <c r="E137" s="22">
        <f t="shared" si="13"/>
        <v>107154</v>
      </c>
      <c r="F137" s="22">
        <f t="shared" si="13"/>
        <v>34376</v>
      </c>
      <c r="G137" s="22">
        <f t="shared" si="13"/>
        <v>1054944.1600000001</v>
      </c>
      <c r="H137" s="22">
        <f t="shared" si="13"/>
        <v>-8772</v>
      </c>
      <c r="I137" s="22"/>
      <c r="J137" s="22">
        <f>J46-J132</f>
        <v>40000.240000000224</v>
      </c>
      <c r="K137" s="22">
        <f>K46-K132</f>
        <v>0</v>
      </c>
      <c r="L137" s="22">
        <f>L46-L132</f>
        <v>40000.240000000224</v>
      </c>
    </row>
    <row r="138" spans="1:12" x14ac:dyDescent="0.25">
      <c r="C138" s="22"/>
      <c r="D138" s="22"/>
      <c r="E138" s="22"/>
      <c r="F138" s="22"/>
      <c r="G138" s="22"/>
      <c r="H138" s="22"/>
      <c r="I138" s="22"/>
      <c r="J138" s="22"/>
      <c r="K138" s="22"/>
      <c r="L138" s="22"/>
    </row>
  </sheetData>
  <sheetProtection algorithmName="SHA-512" hashValue="i/LwygF/KKhvGjWDw4VGv+GhgNCFMmZVDuugEWbp2iBi4rm3N5CGjF/dQiSEINXS7e+t2aMz4w8b/X6t/n9ZhA==" saltValue="sLBDAguf9FEI/fwS7JA7Jw==" spinCount="100000" sheet="1" objects="1" scenarios="1" formatRows="0"/>
  <pageMargins left="0.25" right="0.25" top="0.75" bottom="0.75" header="0.3" footer="0.3"/>
  <pageSetup scale="72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52B3-BC97-40B9-BFCB-D969386F8894}">
  <sheetPr>
    <pageSetUpPr fitToPage="1"/>
  </sheetPr>
  <dimension ref="A1:M95"/>
  <sheetViews>
    <sheetView zoomScaleNormal="100" workbookViewId="0">
      <selection activeCell="F28" sqref="F28"/>
    </sheetView>
  </sheetViews>
  <sheetFormatPr defaultRowHeight="15" x14ac:dyDescent="0.25"/>
  <cols>
    <col min="1" max="1" width="10.5703125" bestFit="1" customWidth="1"/>
    <col min="2" max="2" width="34.7109375" bestFit="1" customWidth="1"/>
    <col min="3" max="3" width="14.28515625" bestFit="1" customWidth="1"/>
    <col min="4" max="4" width="15" bestFit="1" customWidth="1"/>
    <col min="5" max="5" width="15.28515625" bestFit="1" customWidth="1"/>
    <col min="6" max="6" width="14.140625" bestFit="1" customWidth="1"/>
    <col min="7" max="7" width="15" bestFit="1" customWidth="1"/>
    <col min="8" max="8" width="13.28515625" bestFit="1" customWidth="1"/>
    <col min="9" max="9" width="10.7109375" customWidth="1"/>
    <col min="10" max="10" width="13.140625" bestFit="1" customWidth="1"/>
    <col min="11" max="11" width="14.5703125" bestFit="1" customWidth="1"/>
    <col min="12" max="12" width="14" bestFit="1" customWidth="1"/>
  </cols>
  <sheetData>
    <row r="1" spans="1:13" x14ac:dyDescent="0.25">
      <c r="A1" t="s">
        <v>2612</v>
      </c>
      <c r="B1" t="s">
        <v>2613</v>
      </c>
    </row>
    <row r="2" spans="1:13" x14ac:dyDescent="0.25">
      <c r="A2" t="s">
        <v>1</v>
      </c>
    </row>
    <row r="3" spans="1:13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3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/>
      <c r="J4" s="3" t="s">
        <v>3414</v>
      </c>
      <c r="K4" s="3" t="s">
        <v>3415</v>
      </c>
      <c r="L4" s="3" t="s">
        <v>3416</v>
      </c>
    </row>
    <row r="5" spans="1:13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3"/>
      <c r="J5" s="3" t="s">
        <v>13</v>
      </c>
      <c r="K5" s="3" t="s">
        <v>3417</v>
      </c>
      <c r="L5" s="3" t="s">
        <v>13</v>
      </c>
    </row>
    <row r="6" spans="1:13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3" x14ac:dyDescent="0.25">
      <c r="A8" t="s">
        <v>2009</v>
      </c>
    </row>
    <row r="9" spans="1:13" x14ac:dyDescent="0.25">
      <c r="A9" t="s">
        <v>18</v>
      </c>
      <c r="B9" t="s">
        <v>20</v>
      </c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3" x14ac:dyDescent="0.25">
      <c r="A10" t="s">
        <v>2628</v>
      </c>
      <c r="B10" t="s">
        <v>62</v>
      </c>
      <c r="C10" s="22">
        <v>14</v>
      </c>
      <c r="D10" s="22">
        <v>45</v>
      </c>
      <c r="E10" s="22">
        <v>0</v>
      </c>
      <c r="F10" s="22">
        <v>0</v>
      </c>
      <c r="G10" s="22">
        <v>0</v>
      </c>
      <c r="H10" s="22">
        <v>0</v>
      </c>
      <c r="I10" s="22"/>
      <c r="J10" s="22">
        <v>0</v>
      </c>
      <c r="K10" s="22">
        <v>0</v>
      </c>
      <c r="L10" s="22">
        <f t="shared" ref="L10:L17" si="0">J10+K10</f>
        <v>0</v>
      </c>
      <c r="M10" s="12"/>
    </row>
    <row r="11" spans="1:13" x14ac:dyDescent="0.25">
      <c r="A11" t="s">
        <v>2639</v>
      </c>
      <c r="B11" t="s">
        <v>2640</v>
      </c>
      <c r="C11" s="22">
        <v>1483</v>
      </c>
      <c r="D11" s="22">
        <v>7714</v>
      </c>
      <c r="E11" s="22">
        <v>0</v>
      </c>
      <c r="F11" s="22">
        <v>0</v>
      </c>
      <c r="G11" s="22">
        <v>0</v>
      </c>
      <c r="H11" s="22">
        <v>0</v>
      </c>
      <c r="I11" s="22"/>
      <c r="J11" s="22">
        <v>0</v>
      </c>
      <c r="K11" s="22">
        <v>0</v>
      </c>
      <c r="L11" s="22">
        <f t="shared" si="0"/>
        <v>0</v>
      </c>
      <c r="M11" s="12"/>
    </row>
    <row r="12" spans="1:13" x14ac:dyDescent="0.25">
      <c r="A12" t="s">
        <v>2645</v>
      </c>
      <c r="B12" t="s">
        <v>2646</v>
      </c>
      <c r="C12" s="22">
        <v>218</v>
      </c>
      <c r="D12" s="22">
        <v>1374</v>
      </c>
      <c r="E12" s="22">
        <v>0</v>
      </c>
      <c r="F12" s="22">
        <v>0</v>
      </c>
      <c r="G12" s="22">
        <v>0</v>
      </c>
      <c r="H12" s="22">
        <v>0</v>
      </c>
      <c r="I12" s="22"/>
      <c r="J12" s="22">
        <v>0</v>
      </c>
      <c r="K12" s="22">
        <v>0</v>
      </c>
      <c r="L12" s="22">
        <f t="shared" si="0"/>
        <v>0</v>
      </c>
      <c r="M12" s="12"/>
    </row>
    <row r="13" spans="1:13" x14ac:dyDescent="0.25">
      <c r="A13" t="s">
        <v>2647</v>
      </c>
      <c r="B13" t="s">
        <v>2648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/>
      <c r="J13" s="22">
        <v>0</v>
      </c>
      <c r="K13" s="22">
        <v>0</v>
      </c>
      <c r="L13" s="22">
        <f t="shared" si="0"/>
        <v>0</v>
      </c>
      <c r="M13" s="12"/>
    </row>
    <row r="14" spans="1:13" x14ac:dyDescent="0.25">
      <c r="A14" t="s">
        <v>2653</v>
      </c>
      <c r="B14" t="s">
        <v>2654</v>
      </c>
      <c r="C14" s="22">
        <v>1553</v>
      </c>
      <c r="D14" s="22">
        <v>24015</v>
      </c>
      <c r="E14" s="22">
        <v>23611</v>
      </c>
      <c r="F14" s="22">
        <v>0</v>
      </c>
      <c r="G14" s="22">
        <v>0</v>
      </c>
      <c r="H14" s="22">
        <v>0</v>
      </c>
      <c r="I14" s="22"/>
      <c r="J14" s="22">
        <v>0</v>
      </c>
      <c r="K14" s="22">
        <v>0</v>
      </c>
      <c r="L14" s="22">
        <f t="shared" si="0"/>
        <v>0</v>
      </c>
      <c r="M14" s="12"/>
    </row>
    <row r="15" spans="1:13" x14ac:dyDescent="0.25">
      <c r="A15" t="s">
        <v>2655</v>
      </c>
      <c r="B15" t="s">
        <v>2656</v>
      </c>
      <c r="C15" s="22">
        <v>4306</v>
      </c>
      <c r="D15" s="22">
        <v>18865</v>
      </c>
      <c r="E15" s="22">
        <v>0</v>
      </c>
      <c r="F15" s="22">
        <v>0</v>
      </c>
      <c r="G15" s="22">
        <v>0</v>
      </c>
      <c r="H15" s="22">
        <v>0</v>
      </c>
      <c r="I15" s="22"/>
      <c r="J15" s="22">
        <v>0</v>
      </c>
      <c r="K15" s="22">
        <v>0</v>
      </c>
      <c r="L15" s="22">
        <f t="shared" si="0"/>
        <v>0</v>
      </c>
      <c r="M15" s="12"/>
    </row>
    <row r="16" spans="1:13" x14ac:dyDescent="0.25">
      <c r="A16" t="s">
        <v>2005</v>
      </c>
      <c r="B16" t="s">
        <v>2669</v>
      </c>
      <c r="C16" s="22">
        <v>299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/>
      <c r="J16" s="22">
        <v>0</v>
      </c>
      <c r="K16" s="22">
        <v>0</v>
      </c>
      <c r="L16" s="22">
        <f t="shared" si="0"/>
        <v>0</v>
      </c>
      <c r="M16" s="12"/>
    </row>
    <row r="17" spans="1:13" x14ac:dyDescent="0.25">
      <c r="A17" t="s">
        <v>2670</v>
      </c>
      <c r="B17" t="s">
        <v>2671</v>
      </c>
      <c r="C17" s="22">
        <v>497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/>
      <c r="J17" s="22">
        <v>0</v>
      </c>
      <c r="K17" s="22">
        <v>0</v>
      </c>
      <c r="L17" s="22">
        <f t="shared" si="0"/>
        <v>0</v>
      </c>
      <c r="M17" s="12"/>
    </row>
    <row r="18" spans="1:13" x14ac:dyDescent="0.25">
      <c r="A18" t="s">
        <v>2678</v>
      </c>
      <c r="B18" t="s">
        <v>2679</v>
      </c>
      <c r="C18" s="22">
        <v>158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/>
      <c r="J18" s="22">
        <v>0</v>
      </c>
      <c r="K18" s="22">
        <v>0</v>
      </c>
      <c r="L18" s="22">
        <f t="shared" ref="L18:L22" si="1">J18+K18</f>
        <v>0</v>
      </c>
      <c r="M18" s="12"/>
    </row>
    <row r="19" spans="1:13" x14ac:dyDescent="0.25">
      <c r="A19" t="s">
        <v>2682</v>
      </c>
      <c r="B19" t="s">
        <v>1921</v>
      </c>
      <c r="C19" s="22">
        <v>32</v>
      </c>
      <c r="D19" s="22">
        <v>384</v>
      </c>
      <c r="E19" s="22">
        <v>0</v>
      </c>
      <c r="F19" s="22">
        <v>0</v>
      </c>
      <c r="G19" s="22">
        <v>0</v>
      </c>
      <c r="H19" s="22">
        <v>0</v>
      </c>
      <c r="I19" s="22"/>
      <c r="J19" s="22">
        <v>0</v>
      </c>
      <c r="K19" s="22">
        <v>0</v>
      </c>
      <c r="L19" s="22">
        <f t="shared" si="1"/>
        <v>0</v>
      </c>
      <c r="M19" s="12"/>
    </row>
    <row r="20" spans="1:13" x14ac:dyDescent="0.25">
      <c r="A20" t="s">
        <v>2683</v>
      </c>
      <c r="B20" t="s">
        <v>2684</v>
      </c>
      <c r="C20" s="22">
        <v>3890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/>
      <c r="J20" s="22">
        <v>0</v>
      </c>
      <c r="K20" s="22">
        <v>0</v>
      </c>
      <c r="L20" s="22">
        <f t="shared" si="1"/>
        <v>0</v>
      </c>
      <c r="M20" s="12"/>
    </row>
    <row r="21" spans="1:13" x14ac:dyDescent="0.25">
      <c r="A21" t="s">
        <v>2701</v>
      </c>
      <c r="B21" t="s">
        <v>2702</v>
      </c>
      <c r="C21" s="22">
        <v>1592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/>
      <c r="J21" s="22">
        <v>0</v>
      </c>
      <c r="K21" s="22">
        <v>0</v>
      </c>
      <c r="L21" s="22">
        <f t="shared" si="1"/>
        <v>0</v>
      </c>
      <c r="M21" s="12"/>
    </row>
    <row r="22" spans="1:13" x14ac:dyDescent="0.25">
      <c r="A22" t="s">
        <v>2703</v>
      </c>
      <c r="B22" t="s">
        <v>2704</v>
      </c>
      <c r="C22" s="22">
        <v>1412</v>
      </c>
      <c r="D22" s="22">
        <v>2224</v>
      </c>
      <c r="E22" s="22">
        <v>0</v>
      </c>
      <c r="F22" s="22">
        <v>0</v>
      </c>
      <c r="G22" s="22">
        <v>0</v>
      </c>
      <c r="H22" s="22">
        <v>0</v>
      </c>
      <c r="I22" s="22"/>
      <c r="J22" s="22">
        <v>0</v>
      </c>
      <c r="K22" s="22">
        <v>0</v>
      </c>
      <c r="L22" s="22">
        <f t="shared" si="1"/>
        <v>0</v>
      </c>
      <c r="M22" s="12"/>
    </row>
    <row r="23" spans="1:13" x14ac:dyDescent="0.25">
      <c r="A23" t="s">
        <v>2705</v>
      </c>
      <c r="B23" t="s">
        <v>2706</v>
      </c>
      <c r="C23" s="22">
        <v>1362</v>
      </c>
      <c r="D23" s="22">
        <v>2604</v>
      </c>
      <c r="E23" s="22">
        <v>0</v>
      </c>
      <c r="F23" s="22">
        <v>0</v>
      </c>
      <c r="G23" s="22">
        <v>0</v>
      </c>
      <c r="H23" s="22">
        <v>0</v>
      </c>
      <c r="I23" s="22"/>
      <c r="J23" s="22">
        <v>0</v>
      </c>
      <c r="K23" s="22">
        <v>0</v>
      </c>
      <c r="L23" s="22">
        <f t="shared" ref="L23:L40" si="2">J23+K23</f>
        <v>0</v>
      </c>
      <c r="M23" s="12"/>
    </row>
    <row r="24" spans="1:13" x14ac:dyDescent="0.25">
      <c r="A24" t="s">
        <v>2707</v>
      </c>
      <c r="B24" t="s">
        <v>2708</v>
      </c>
      <c r="C24" s="22">
        <v>274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/>
      <c r="J24" s="22">
        <v>0</v>
      </c>
      <c r="K24" s="22">
        <v>0</v>
      </c>
      <c r="L24" s="22">
        <f t="shared" si="2"/>
        <v>0</v>
      </c>
      <c r="M24" s="12"/>
    </row>
    <row r="25" spans="1:13" x14ac:dyDescent="0.25">
      <c r="A25" t="s">
        <v>2709</v>
      </c>
      <c r="B25" t="s">
        <v>44</v>
      </c>
      <c r="C25" s="22">
        <v>3554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/>
      <c r="J25" s="22">
        <v>0</v>
      </c>
      <c r="K25" s="22">
        <v>0</v>
      </c>
      <c r="L25" s="22">
        <f t="shared" si="2"/>
        <v>0</v>
      </c>
      <c r="M25" s="12"/>
    </row>
    <row r="26" spans="1:13" x14ac:dyDescent="0.25">
      <c r="A26" t="s">
        <v>2710</v>
      </c>
      <c r="B26" t="s">
        <v>64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/>
      <c r="J26" s="22">
        <v>0</v>
      </c>
      <c r="K26" s="22">
        <v>0</v>
      </c>
      <c r="L26" s="22">
        <f t="shared" si="2"/>
        <v>0</v>
      </c>
      <c r="M26" s="12"/>
    </row>
    <row r="27" spans="1:13" x14ac:dyDescent="0.25">
      <c r="A27" t="s">
        <v>2711</v>
      </c>
      <c r="B27" t="s">
        <v>1917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/>
      <c r="J27" s="22">
        <v>0</v>
      </c>
      <c r="K27" s="22">
        <v>0</v>
      </c>
      <c r="L27" s="22">
        <f t="shared" si="2"/>
        <v>0</v>
      </c>
      <c r="M27" s="12"/>
    </row>
    <row r="28" spans="1:13" x14ac:dyDescent="0.25">
      <c r="A28" t="s">
        <v>2712</v>
      </c>
      <c r="B28" t="s">
        <v>2713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/>
      <c r="J28" s="22">
        <v>0</v>
      </c>
      <c r="K28" s="22">
        <v>0</v>
      </c>
      <c r="L28" s="22">
        <f t="shared" si="2"/>
        <v>0</v>
      </c>
      <c r="M28" s="12"/>
    </row>
    <row r="29" spans="1:13" x14ac:dyDescent="0.25">
      <c r="A29" t="s">
        <v>2714</v>
      </c>
      <c r="B29" t="s">
        <v>2715</v>
      </c>
      <c r="C29" s="22">
        <v>0</v>
      </c>
      <c r="D29" s="22">
        <v>0</v>
      </c>
      <c r="E29" s="22">
        <v>857312</v>
      </c>
      <c r="F29" s="22">
        <v>0</v>
      </c>
      <c r="G29" s="22">
        <v>873352.47</v>
      </c>
      <c r="H29" s="22">
        <v>1000000</v>
      </c>
      <c r="I29" s="22"/>
      <c r="J29" s="22">
        <v>0</v>
      </c>
      <c r="K29" s="22">
        <v>0</v>
      </c>
      <c r="L29" s="22">
        <f t="shared" si="2"/>
        <v>0</v>
      </c>
      <c r="M29" s="12"/>
    </row>
    <row r="30" spans="1:13" x14ac:dyDescent="0.25">
      <c r="A30" t="s">
        <v>2749</v>
      </c>
      <c r="B30" t="s">
        <v>95</v>
      </c>
      <c r="C30" s="22">
        <v>0</v>
      </c>
      <c r="D30" s="22">
        <v>0</v>
      </c>
      <c r="E30" s="22">
        <v>23465000</v>
      </c>
      <c r="F30" s="22">
        <v>0</v>
      </c>
      <c r="G30" s="22">
        <v>0</v>
      </c>
      <c r="H30" s="22">
        <v>0</v>
      </c>
      <c r="I30" s="22"/>
      <c r="J30" s="22">
        <v>0</v>
      </c>
      <c r="K30" s="22">
        <v>0</v>
      </c>
      <c r="L30" s="22">
        <f t="shared" si="2"/>
        <v>0</v>
      </c>
      <c r="M30" s="12"/>
    </row>
    <row r="31" spans="1:13" x14ac:dyDescent="0.25">
      <c r="A31" t="s">
        <v>2750</v>
      </c>
      <c r="B31" t="s">
        <v>2751</v>
      </c>
      <c r="C31" s="22">
        <v>0</v>
      </c>
      <c r="D31" s="22">
        <v>0</v>
      </c>
      <c r="E31" s="22">
        <v>2520405</v>
      </c>
      <c r="F31" s="22">
        <v>0</v>
      </c>
      <c r="G31" s="22">
        <v>0</v>
      </c>
      <c r="H31" s="22">
        <v>0</v>
      </c>
      <c r="I31" s="22"/>
      <c r="J31" s="22">
        <v>0</v>
      </c>
      <c r="K31" s="22">
        <v>0</v>
      </c>
      <c r="L31" s="22">
        <f t="shared" si="2"/>
        <v>0</v>
      </c>
      <c r="M31" s="12"/>
    </row>
    <row r="32" spans="1:13" x14ac:dyDescent="0.25">
      <c r="A32" t="s">
        <v>2752</v>
      </c>
      <c r="B32" t="s">
        <v>2753</v>
      </c>
      <c r="C32" s="22">
        <v>9500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/>
      <c r="J32" s="22">
        <v>0</v>
      </c>
      <c r="K32" s="22">
        <v>0</v>
      </c>
      <c r="L32" s="22">
        <f t="shared" si="2"/>
        <v>0</v>
      </c>
      <c r="M32" s="12"/>
    </row>
    <row r="33" spans="1:13" x14ac:dyDescent="0.25">
      <c r="A33" t="s">
        <v>2754</v>
      </c>
      <c r="B33" t="s">
        <v>2755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/>
      <c r="J33" s="22">
        <v>0</v>
      </c>
      <c r="K33" s="22">
        <v>0</v>
      </c>
      <c r="L33" s="22">
        <f t="shared" si="2"/>
        <v>0</v>
      </c>
      <c r="M33" s="12"/>
    </row>
    <row r="34" spans="1:13" x14ac:dyDescent="0.25">
      <c r="A34" t="s">
        <v>2756</v>
      </c>
      <c r="B34" t="s">
        <v>2757</v>
      </c>
      <c r="C34" s="22">
        <v>9500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/>
      <c r="J34" s="22">
        <v>0</v>
      </c>
      <c r="K34" s="22">
        <v>0</v>
      </c>
      <c r="L34" s="22">
        <f t="shared" si="2"/>
        <v>0</v>
      </c>
      <c r="M34" s="12"/>
    </row>
    <row r="35" spans="1:13" x14ac:dyDescent="0.25">
      <c r="A35" t="s">
        <v>2758</v>
      </c>
      <c r="B35" t="s">
        <v>2759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/>
      <c r="J35" s="22">
        <v>0</v>
      </c>
      <c r="K35" s="22">
        <v>0</v>
      </c>
      <c r="L35" s="22">
        <f t="shared" si="2"/>
        <v>0</v>
      </c>
      <c r="M35" s="12"/>
    </row>
    <row r="36" spans="1:13" x14ac:dyDescent="0.25">
      <c r="A36" t="s">
        <v>2760</v>
      </c>
      <c r="B36" t="s">
        <v>2761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/>
      <c r="J36" s="22">
        <v>0</v>
      </c>
      <c r="K36" s="22">
        <v>0</v>
      </c>
      <c r="L36" s="22">
        <f t="shared" si="2"/>
        <v>0</v>
      </c>
      <c r="M36" s="12"/>
    </row>
    <row r="37" spans="1:13" x14ac:dyDescent="0.25">
      <c r="A37" t="s">
        <v>2764</v>
      </c>
      <c r="B37" t="s">
        <v>2765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/>
      <c r="J37" s="22">
        <v>0</v>
      </c>
      <c r="K37" s="22">
        <v>0</v>
      </c>
      <c r="L37" s="22">
        <f t="shared" si="2"/>
        <v>0</v>
      </c>
      <c r="M37" s="12"/>
    </row>
    <row r="38" spans="1:13" x14ac:dyDescent="0.25">
      <c r="A38" t="s">
        <v>2766</v>
      </c>
      <c r="B38" t="s">
        <v>2767</v>
      </c>
      <c r="C38" s="22">
        <v>407000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/>
      <c r="J38" s="22">
        <v>0</v>
      </c>
      <c r="K38" s="22">
        <v>0</v>
      </c>
      <c r="L38" s="22">
        <f t="shared" si="2"/>
        <v>0</v>
      </c>
      <c r="M38" s="12"/>
    </row>
    <row r="39" spans="1:13" x14ac:dyDescent="0.25">
      <c r="A39" t="s">
        <v>2768</v>
      </c>
      <c r="B39" t="s">
        <v>2769</v>
      </c>
      <c r="C39" s="22">
        <v>217000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/>
      <c r="J39" s="22">
        <v>0</v>
      </c>
      <c r="K39" s="22">
        <v>0</v>
      </c>
      <c r="L39" s="22">
        <f t="shared" si="2"/>
        <v>0</v>
      </c>
      <c r="M39" s="12"/>
    </row>
    <row r="40" spans="1:13" x14ac:dyDescent="0.25">
      <c r="A40" t="s">
        <v>2770</v>
      </c>
      <c r="B40" t="s">
        <v>2771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/>
      <c r="J40" s="22">
        <v>0</v>
      </c>
      <c r="K40" s="22">
        <v>0</v>
      </c>
      <c r="L40" s="22">
        <f t="shared" si="2"/>
        <v>0</v>
      </c>
      <c r="M40" s="12"/>
    </row>
    <row r="41" spans="1:13" x14ac:dyDescent="0.25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12"/>
    </row>
    <row r="42" spans="1:13" x14ac:dyDescent="0.25"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12"/>
    </row>
    <row r="43" spans="1:13" x14ac:dyDescent="0.25">
      <c r="A43" t="s">
        <v>109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12"/>
    </row>
    <row r="44" spans="1:13" x14ac:dyDescent="0.25">
      <c r="B44" t="s">
        <v>2009</v>
      </c>
      <c r="C44" s="22">
        <f t="shared" ref="C44:H44" si="3">SUM(C10:C40)</f>
        <v>663644</v>
      </c>
      <c r="D44" s="22">
        <f t="shared" si="3"/>
        <v>57225</v>
      </c>
      <c r="E44" s="22">
        <f t="shared" si="3"/>
        <v>26866328</v>
      </c>
      <c r="F44" s="22">
        <f t="shared" si="3"/>
        <v>0</v>
      </c>
      <c r="G44" s="22">
        <f t="shared" si="3"/>
        <v>873352.47</v>
      </c>
      <c r="H44" s="22">
        <f t="shared" si="3"/>
        <v>1000000</v>
      </c>
      <c r="I44" s="22"/>
      <c r="J44" s="22">
        <f>SUM(J10:J40)</f>
        <v>0</v>
      </c>
      <c r="K44" s="22">
        <f>SUM(K10:K40)</f>
        <v>0</v>
      </c>
      <c r="L44" s="22">
        <f>SUM(L10:L40)</f>
        <v>0</v>
      </c>
      <c r="M44" s="12"/>
    </row>
    <row r="45" spans="1:13" x14ac:dyDescent="0.25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12"/>
    </row>
    <row r="46" spans="1:13" x14ac:dyDescent="0.25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12"/>
    </row>
    <row r="47" spans="1:13" x14ac:dyDescent="0.25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12"/>
    </row>
    <row r="48" spans="1:13" x14ac:dyDescent="0.25">
      <c r="A48" t="s">
        <v>3542</v>
      </c>
      <c r="C48" s="22">
        <f t="shared" ref="C48:H48" si="4">C44</f>
        <v>663644</v>
      </c>
      <c r="D48" s="22">
        <f t="shared" si="4"/>
        <v>57225</v>
      </c>
      <c r="E48" s="22">
        <f t="shared" si="4"/>
        <v>26866328</v>
      </c>
      <c r="F48" s="22">
        <f t="shared" si="4"/>
        <v>0</v>
      </c>
      <c r="G48" s="22">
        <f t="shared" si="4"/>
        <v>873352.47</v>
      </c>
      <c r="H48" s="22">
        <f t="shared" si="4"/>
        <v>1000000</v>
      </c>
      <c r="I48" s="22"/>
      <c r="J48" s="22">
        <f>J44</f>
        <v>0</v>
      </c>
      <c r="K48" s="22">
        <f>K44</f>
        <v>0</v>
      </c>
      <c r="L48" s="22">
        <f>L44</f>
        <v>0</v>
      </c>
      <c r="M48" s="12"/>
    </row>
    <row r="49" spans="1:13" x14ac:dyDescent="0.25">
      <c r="A49" t="s">
        <v>110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12"/>
    </row>
    <row r="50" spans="1:13" x14ac:dyDescent="0.25">
      <c r="A50" s="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12"/>
    </row>
    <row r="51" spans="1:13" x14ac:dyDescent="0.25"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12"/>
    </row>
    <row r="52" spans="1:13" x14ac:dyDescent="0.25"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12"/>
    </row>
    <row r="53" spans="1:13" x14ac:dyDescent="0.25">
      <c r="A53" t="s">
        <v>2612</v>
      </c>
      <c r="B53" t="s">
        <v>2613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12"/>
    </row>
    <row r="54" spans="1:13" x14ac:dyDescent="0.25">
      <c r="A54" t="s">
        <v>386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12"/>
    </row>
    <row r="55" spans="1:13" x14ac:dyDescent="0.25">
      <c r="C55" s="22"/>
      <c r="D55" s="22"/>
      <c r="E55" s="22"/>
      <c r="F55" s="28" t="s">
        <v>2</v>
      </c>
      <c r="G55" s="29" t="s">
        <v>3410</v>
      </c>
      <c r="H55" s="22" t="s">
        <v>4</v>
      </c>
      <c r="I55" s="22"/>
      <c r="J55" s="28" t="s">
        <v>3411</v>
      </c>
      <c r="K55" s="30" t="s">
        <v>3412</v>
      </c>
      <c r="L55" s="31" t="s">
        <v>3413</v>
      </c>
      <c r="M55" s="12"/>
    </row>
    <row r="56" spans="1:13" x14ac:dyDescent="0.25">
      <c r="C56" s="30" t="s">
        <v>7</v>
      </c>
      <c r="D56" s="30" t="s">
        <v>8</v>
      </c>
      <c r="E56" s="30" t="s">
        <v>9</v>
      </c>
      <c r="F56" s="30" t="s">
        <v>10</v>
      </c>
      <c r="G56" s="29" t="s">
        <v>11</v>
      </c>
      <c r="H56" s="30" t="s">
        <v>12</v>
      </c>
      <c r="I56" s="30"/>
      <c r="J56" s="30" t="s">
        <v>3414</v>
      </c>
      <c r="K56" s="30" t="s">
        <v>3415</v>
      </c>
      <c r="L56" s="30" t="s">
        <v>3416</v>
      </c>
      <c r="M56" s="12"/>
    </row>
    <row r="57" spans="1:13" x14ac:dyDescent="0.25">
      <c r="C57" s="30" t="s">
        <v>15</v>
      </c>
      <c r="D57" s="30" t="s">
        <v>15</v>
      </c>
      <c r="E57" s="30" t="s">
        <v>15</v>
      </c>
      <c r="F57" s="30" t="s">
        <v>16</v>
      </c>
      <c r="G57" s="4">
        <v>45889</v>
      </c>
      <c r="H57" s="30" t="s">
        <v>17</v>
      </c>
      <c r="I57" s="30"/>
      <c r="J57" s="30" t="s">
        <v>13</v>
      </c>
      <c r="K57" s="30" t="s">
        <v>3417</v>
      </c>
      <c r="L57" s="30" t="s">
        <v>13</v>
      </c>
      <c r="M57" s="12"/>
    </row>
    <row r="58" spans="1:13" x14ac:dyDescent="0.25">
      <c r="A58" t="s">
        <v>18</v>
      </c>
      <c r="B58" t="s">
        <v>19</v>
      </c>
      <c r="C58" s="22" t="s">
        <v>20</v>
      </c>
      <c r="D58" s="22" t="s">
        <v>21</v>
      </c>
      <c r="E58" s="22" t="s">
        <v>22</v>
      </c>
      <c r="F58" s="22" t="s">
        <v>23</v>
      </c>
      <c r="G58" s="22" t="s">
        <v>24</v>
      </c>
      <c r="H58" s="22" t="s">
        <v>20</v>
      </c>
      <c r="I58" s="22"/>
      <c r="J58" s="22" t="s">
        <v>24</v>
      </c>
      <c r="K58" s="22" t="s">
        <v>20</v>
      </c>
      <c r="L58" s="22" t="s">
        <v>20</v>
      </c>
      <c r="M58" s="12"/>
    </row>
    <row r="59" spans="1:13" x14ac:dyDescent="0.2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12"/>
    </row>
    <row r="60" spans="1:13" x14ac:dyDescent="0.25"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12"/>
    </row>
    <row r="61" spans="1:13" x14ac:dyDescent="0.25">
      <c r="A61" t="s">
        <v>2009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12"/>
    </row>
    <row r="62" spans="1:13" x14ac:dyDescent="0.25"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12"/>
    </row>
    <row r="63" spans="1:13" x14ac:dyDescent="0.25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12"/>
    </row>
    <row r="64" spans="1:13" x14ac:dyDescent="0.25"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12"/>
    </row>
    <row r="65" spans="1:13" x14ac:dyDescent="0.25">
      <c r="A65" t="s">
        <v>2870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12"/>
    </row>
    <row r="66" spans="1:13" x14ac:dyDescent="0.25">
      <c r="A66" t="s">
        <v>18</v>
      </c>
      <c r="B66" t="s">
        <v>19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12"/>
    </row>
    <row r="67" spans="1:13" x14ac:dyDescent="0.25">
      <c r="A67" t="s">
        <v>2907</v>
      </c>
      <c r="B67" t="s">
        <v>2908</v>
      </c>
      <c r="C67" s="22">
        <v>0</v>
      </c>
      <c r="D67" s="22">
        <v>0</v>
      </c>
      <c r="E67" s="22">
        <v>285371</v>
      </c>
      <c r="F67" s="22">
        <v>0</v>
      </c>
      <c r="G67" s="22">
        <v>0</v>
      </c>
      <c r="H67" s="22">
        <v>0</v>
      </c>
      <c r="I67" s="22"/>
      <c r="J67" s="22">
        <v>0</v>
      </c>
      <c r="K67" s="22">
        <v>0</v>
      </c>
      <c r="L67" s="22">
        <f>J67+K67</f>
        <v>0</v>
      </c>
      <c r="M67" s="12"/>
    </row>
    <row r="68" spans="1:13" x14ac:dyDescent="0.25">
      <c r="A68" t="s">
        <v>3093</v>
      </c>
      <c r="B68" t="s">
        <v>3094</v>
      </c>
      <c r="C68" s="22">
        <v>0</v>
      </c>
      <c r="D68" s="22">
        <v>199424</v>
      </c>
      <c r="E68" s="22">
        <v>0</v>
      </c>
      <c r="F68" s="22">
        <v>0</v>
      </c>
      <c r="G68" s="22">
        <v>0</v>
      </c>
      <c r="H68" s="22">
        <v>0</v>
      </c>
      <c r="I68" s="22"/>
      <c r="J68" s="22">
        <v>0</v>
      </c>
      <c r="K68" s="22">
        <v>0</v>
      </c>
      <c r="L68" s="22">
        <f t="shared" ref="L68:L81" si="5">J68+K68</f>
        <v>0</v>
      </c>
      <c r="M68" s="12"/>
    </row>
    <row r="69" spans="1:13" x14ac:dyDescent="0.25">
      <c r="A69" t="s">
        <v>3102</v>
      </c>
      <c r="B69" t="s">
        <v>3103</v>
      </c>
      <c r="C69" s="22">
        <v>35026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/>
      <c r="J69" s="22">
        <v>0</v>
      </c>
      <c r="K69" s="22">
        <v>0</v>
      </c>
      <c r="L69" s="22">
        <f t="shared" si="5"/>
        <v>0</v>
      </c>
      <c r="M69" s="12"/>
    </row>
    <row r="70" spans="1:13" x14ac:dyDescent="0.25">
      <c r="A70" t="s">
        <v>3125</v>
      </c>
      <c r="B70" t="s">
        <v>3126</v>
      </c>
      <c r="C70" s="22">
        <v>8500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/>
      <c r="J70" s="22">
        <v>0</v>
      </c>
      <c r="K70" s="22">
        <v>0</v>
      </c>
      <c r="L70" s="22">
        <f t="shared" si="5"/>
        <v>0</v>
      </c>
      <c r="M70" s="12"/>
    </row>
    <row r="71" spans="1:13" x14ac:dyDescent="0.25">
      <c r="A71" t="s">
        <v>3144</v>
      </c>
      <c r="B71" t="s">
        <v>3145</v>
      </c>
      <c r="C71" s="22">
        <v>11111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/>
      <c r="J71" s="22">
        <v>0</v>
      </c>
      <c r="K71" s="22">
        <v>0</v>
      </c>
      <c r="L71" s="22">
        <f t="shared" si="5"/>
        <v>0</v>
      </c>
      <c r="M71" s="12"/>
    </row>
    <row r="72" spans="1:13" x14ac:dyDescent="0.25">
      <c r="A72" t="s">
        <v>3154</v>
      </c>
      <c r="B72" t="s">
        <v>3155</v>
      </c>
      <c r="C72" s="22">
        <v>282416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/>
      <c r="J72" s="22">
        <v>0</v>
      </c>
      <c r="K72" s="22">
        <v>0</v>
      </c>
      <c r="L72" s="22">
        <f t="shared" si="5"/>
        <v>0</v>
      </c>
      <c r="M72" s="12"/>
    </row>
    <row r="73" spans="1:13" x14ac:dyDescent="0.25">
      <c r="A73" t="s">
        <v>3193</v>
      </c>
      <c r="B73" t="s">
        <v>3194</v>
      </c>
      <c r="C73" s="22">
        <v>3250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/>
      <c r="J73" s="22">
        <v>0</v>
      </c>
      <c r="K73" s="22">
        <v>0</v>
      </c>
      <c r="L73" s="22">
        <f t="shared" si="5"/>
        <v>0</v>
      </c>
      <c r="M73" s="12"/>
    </row>
    <row r="74" spans="1:13" x14ac:dyDescent="0.25">
      <c r="A74" t="s">
        <v>3195</v>
      </c>
      <c r="B74" t="s">
        <v>3196</v>
      </c>
      <c r="C74" s="22">
        <v>272894</v>
      </c>
      <c r="D74" s="22">
        <v>90018</v>
      </c>
      <c r="E74" s="22">
        <v>0</v>
      </c>
      <c r="F74" s="22">
        <v>0</v>
      </c>
      <c r="G74" s="22">
        <v>0</v>
      </c>
      <c r="H74" s="22">
        <v>0</v>
      </c>
      <c r="I74" s="22"/>
      <c r="J74" s="22">
        <v>0</v>
      </c>
      <c r="K74" s="22">
        <v>0</v>
      </c>
      <c r="L74" s="22">
        <f t="shared" si="5"/>
        <v>0</v>
      </c>
      <c r="M74" s="12"/>
    </row>
    <row r="75" spans="1:13" x14ac:dyDescent="0.25">
      <c r="A75" t="s">
        <v>3197</v>
      </c>
      <c r="B75" t="s">
        <v>2706</v>
      </c>
      <c r="C75" s="22">
        <v>68572</v>
      </c>
      <c r="D75" s="22">
        <v>107036</v>
      </c>
      <c r="E75" s="22">
        <v>0</v>
      </c>
      <c r="F75" s="22">
        <v>0</v>
      </c>
      <c r="G75" s="22">
        <v>0</v>
      </c>
      <c r="H75" s="22">
        <v>0</v>
      </c>
      <c r="I75" s="22"/>
      <c r="J75" s="22">
        <v>0</v>
      </c>
      <c r="K75" s="22">
        <v>0</v>
      </c>
      <c r="L75" s="22">
        <f t="shared" si="5"/>
        <v>0</v>
      </c>
      <c r="M75" s="12"/>
    </row>
    <row r="76" spans="1:13" x14ac:dyDescent="0.25">
      <c r="A76" t="s">
        <v>3198</v>
      </c>
      <c r="B76" t="s">
        <v>3199</v>
      </c>
      <c r="C76" s="22">
        <v>894638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/>
      <c r="J76" s="22">
        <v>0</v>
      </c>
      <c r="K76" s="22">
        <v>0</v>
      </c>
      <c r="L76" s="22">
        <f t="shared" si="5"/>
        <v>0</v>
      </c>
      <c r="M76" s="12"/>
    </row>
    <row r="77" spans="1:13" x14ac:dyDescent="0.25">
      <c r="A77" t="s">
        <v>3206</v>
      </c>
      <c r="B77" t="s">
        <v>3207</v>
      </c>
      <c r="C77" s="22">
        <v>0</v>
      </c>
      <c r="D77" s="22">
        <v>0</v>
      </c>
      <c r="E77" s="22">
        <v>0</v>
      </c>
      <c r="F77" s="22">
        <v>8000000</v>
      </c>
      <c r="G77" s="22">
        <v>6709612.0999999996</v>
      </c>
      <c r="H77" s="22">
        <v>8000000</v>
      </c>
      <c r="I77" s="22"/>
      <c r="J77" s="22">
        <v>4000000</v>
      </c>
      <c r="K77" s="22">
        <v>0</v>
      </c>
      <c r="L77" s="22">
        <f t="shared" si="5"/>
        <v>4000000</v>
      </c>
      <c r="M77" s="12"/>
    </row>
    <row r="78" spans="1:13" x14ac:dyDescent="0.25">
      <c r="A78" t="s">
        <v>3780</v>
      </c>
      <c r="B78" t="s">
        <v>3781</v>
      </c>
      <c r="C78" s="22">
        <v>0</v>
      </c>
      <c r="D78" s="22">
        <v>0</v>
      </c>
      <c r="E78" s="22">
        <v>0</v>
      </c>
      <c r="F78" s="22">
        <v>100000</v>
      </c>
      <c r="G78" s="22">
        <v>0</v>
      </c>
      <c r="H78" s="22">
        <v>42500</v>
      </c>
      <c r="I78" s="22"/>
      <c r="J78" s="22">
        <v>5552500</v>
      </c>
      <c r="K78" s="22">
        <v>0</v>
      </c>
      <c r="L78" s="22">
        <f t="shared" si="5"/>
        <v>5552500</v>
      </c>
      <c r="M78" s="12"/>
    </row>
    <row r="79" spans="1:13" x14ac:dyDescent="0.25">
      <c r="A79" t="s">
        <v>3208</v>
      </c>
      <c r="B79" t="s">
        <v>3209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/>
      <c r="J79" s="22">
        <v>0</v>
      </c>
      <c r="K79" s="22">
        <v>0</v>
      </c>
      <c r="L79" s="22">
        <f t="shared" si="5"/>
        <v>0</v>
      </c>
      <c r="M79" s="12"/>
    </row>
    <row r="80" spans="1:13" x14ac:dyDescent="0.25">
      <c r="A80" t="s">
        <v>3210</v>
      </c>
      <c r="B80" t="s">
        <v>3211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/>
      <c r="J80" s="22">
        <v>0</v>
      </c>
      <c r="K80" s="22">
        <v>0</v>
      </c>
      <c r="L80" s="22">
        <f t="shared" si="5"/>
        <v>0</v>
      </c>
      <c r="M80" s="12"/>
    </row>
    <row r="81" spans="1:13" x14ac:dyDescent="0.25">
      <c r="A81" t="s">
        <v>3212</v>
      </c>
      <c r="B81" t="s">
        <v>3213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/>
      <c r="J81" s="22">
        <v>0</v>
      </c>
      <c r="K81" s="22">
        <v>0</v>
      </c>
      <c r="L81" s="22">
        <f t="shared" si="5"/>
        <v>0</v>
      </c>
      <c r="M81" s="12"/>
    </row>
    <row r="82" spans="1:13" x14ac:dyDescent="0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12"/>
    </row>
    <row r="83" spans="1:13" x14ac:dyDescent="0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2"/>
    </row>
    <row r="84" spans="1:13" x14ac:dyDescent="0.25">
      <c r="A84" t="s">
        <v>109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12"/>
    </row>
    <row r="85" spans="1:13" x14ac:dyDescent="0.25">
      <c r="B85" t="s">
        <v>2870</v>
      </c>
      <c r="C85" s="22">
        <f t="shared" ref="C85:H85" si="6">SUM(C67:C81)</f>
        <v>1576407</v>
      </c>
      <c r="D85" s="22">
        <f t="shared" si="6"/>
        <v>396478</v>
      </c>
      <c r="E85" s="22">
        <f t="shared" si="6"/>
        <v>285371</v>
      </c>
      <c r="F85" s="22">
        <f t="shared" si="6"/>
        <v>8100000</v>
      </c>
      <c r="G85" s="22">
        <f t="shared" si="6"/>
        <v>6709612.0999999996</v>
      </c>
      <c r="H85" s="22">
        <f t="shared" si="6"/>
        <v>8042500</v>
      </c>
      <c r="I85" s="22"/>
      <c r="J85" s="22">
        <f>SUM(J67:J81)</f>
        <v>9552500</v>
      </c>
      <c r="K85" s="22">
        <f>SUM(K67:K81)</f>
        <v>0</v>
      </c>
      <c r="L85" s="22">
        <f>SUM(L67:L81)</f>
        <v>9552500</v>
      </c>
      <c r="M85" s="12"/>
    </row>
    <row r="86" spans="1:13" x14ac:dyDescent="0.25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12"/>
    </row>
    <row r="87" spans="1:13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12"/>
    </row>
    <row r="88" spans="1:13" x14ac:dyDescent="0.25">
      <c r="A88" t="s">
        <v>109</v>
      </c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12"/>
    </row>
    <row r="89" spans="1:13" x14ac:dyDescent="0.25">
      <c r="A89">
        <v>80</v>
      </c>
      <c r="B89" t="s">
        <v>3782</v>
      </c>
      <c r="C89" s="22">
        <f t="shared" ref="C89:H89" si="7">C85</f>
        <v>1576407</v>
      </c>
      <c r="D89" s="22">
        <f t="shared" si="7"/>
        <v>396478</v>
      </c>
      <c r="E89" s="22">
        <f t="shared" si="7"/>
        <v>285371</v>
      </c>
      <c r="F89" s="22">
        <f t="shared" si="7"/>
        <v>8100000</v>
      </c>
      <c r="G89" s="22">
        <f t="shared" si="7"/>
        <v>6709612.0999999996</v>
      </c>
      <c r="H89" s="22">
        <f t="shared" si="7"/>
        <v>8042500</v>
      </c>
      <c r="I89" s="22"/>
      <c r="J89" s="22">
        <f>J85</f>
        <v>9552500</v>
      </c>
      <c r="K89" s="22">
        <f>K85</f>
        <v>0</v>
      </c>
      <c r="L89" s="22">
        <f>L85</f>
        <v>9552500</v>
      </c>
      <c r="M89" s="12"/>
    </row>
    <row r="90" spans="1:13" x14ac:dyDescent="0.25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12"/>
    </row>
    <row r="91" spans="1:13" x14ac:dyDescent="0.25"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12"/>
    </row>
    <row r="92" spans="1:13" x14ac:dyDescent="0.2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12"/>
    </row>
    <row r="93" spans="1:13" x14ac:dyDescent="0.25">
      <c r="A93" t="s">
        <v>3717</v>
      </c>
      <c r="C93" s="22">
        <f t="shared" ref="C93:H93" si="8">C89</f>
        <v>1576407</v>
      </c>
      <c r="D93" s="22">
        <f t="shared" si="8"/>
        <v>396478</v>
      </c>
      <c r="E93" s="22">
        <f t="shared" si="8"/>
        <v>285371</v>
      </c>
      <c r="F93" s="22">
        <f t="shared" si="8"/>
        <v>8100000</v>
      </c>
      <c r="G93" s="22">
        <f t="shared" si="8"/>
        <v>6709612.0999999996</v>
      </c>
      <c r="H93" s="22">
        <f t="shared" si="8"/>
        <v>8042500</v>
      </c>
      <c r="I93" s="22"/>
      <c r="J93" s="22">
        <f>J89</f>
        <v>9552500</v>
      </c>
      <c r="K93" s="22">
        <f>K89</f>
        <v>0</v>
      </c>
      <c r="L93" s="22">
        <f>L89</f>
        <v>9552500</v>
      </c>
      <c r="M93" s="12"/>
    </row>
    <row r="94" spans="1:13" x14ac:dyDescent="0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12"/>
    </row>
    <row r="95" spans="1:13" x14ac:dyDescent="0.25">
      <c r="A95" t="s">
        <v>3777</v>
      </c>
      <c r="C95" s="22">
        <f t="shared" ref="C95:H95" si="9">C48-C93</f>
        <v>-912763</v>
      </c>
      <c r="D95" s="22">
        <f t="shared" si="9"/>
        <v>-339253</v>
      </c>
      <c r="E95" s="22">
        <f t="shared" si="9"/>
        <v>26580957</v>
      </c>
      <c r="F95" s="22">
        <f t="shared" si="9"/>
        <v>-8100000</v>
      </c>
      <c r="G95" s="22">
        <f t="shared" si="9"/>
        <v>-5836259.6299999999</v>
      </c>
      <c r="H95" s="22">
        <f t="shared" si="9"/>
        <v>-7042500</v>
      </c>
      <c r="I95" s="22"/>
      <c r="J95" s="22">
        <f>J48-J93</f>
        <v>-9552500</v>
      </c>
      <c r="K95" s="22">
        <f>K48-K93</f>
        <v>0</v>
      </c>
      <c r="L95" s="22">
        <f>L48-L93</f>
        <v>-9552500</v>
      </c>
      <c r="M95" s="12"/>
    </row>
  </sheetData>
  <sheetProtection algorithmName="SHA-512" hashValue="71oFNQyorohxQIE1FztfBaAgiP582MVZiruQtmz0KV3MUnlyAOrbwAtIblDmVA0S3FCegTj6azWA4RQ/scuDIQ==" saltValue="IdIStK/0aEFtomzBk/pCoQ==" spinCount="100000" sheet="1" objects="1" scenarios="1"/>
  <pageMargins left="0.25" right="0.25" top="0.75" bottom="0.75" header="0.3" footer="0.3"/>
  <pageSetup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80113-2CB3-4ADE-92B0-2DF5783147CE}">
  <dimension ref="A1:K288"/>
  <sheetViews>
    <sheetView workbookViewId="0">
      <selection activeCell="H71" sqref="H71"/>
    </sheetView>
  </sheetViews>
  <sheetFormatPr defaultColWidth="11.42578125" defaultRowHeight="15" x14ac:dyDescent="0.25"/>
  <cols>
    <col min="1" max="1" width="36.7109375" style="33" bestFit="1" customWidth="1"/>
    <col min="2" max="2" width="13" style="33" bestFit="1" customWidth="1"/>
    <col min="3" max="3" width="14.7109375" style="33" bestFit="1" customWidth="1"/>
    <col min="4" max="4" width="12.5703125" style="33" bestFit="1" customWidth="1"/>
    <col min="5" max="5" width="13.85546875" style="33" bestFit="1" customWidth="1"/>
    <col min="6" max="6" width="13.42578125" style="33" bestFit="1" customWidth="1"/>
    <col min="7" max="7" width="16.28515625" style="33" bestFit="1" customWidth="1"/>
    <col min="8" max="8" width="13.85546875" style="33" customWidth="1"/>
    <col min="9" max="9" width="13.42578125" style="48" bestFit="1" customWidth="1"/>
    <col min="10" max="10" width="14.42578125" style="48" bestFit="1" customWidth="1"/>
    <col min="11" max="11" width="13.85546875" style="33" bestFit="1" customWidth="1"/>
    <col min="12" max="16384" width="11.42578125" style="33"/>
  </cols>
  <sheetData>
    <row r="1" spans="1:11" x14ac:dyDescent="0.25">
      <c r="A1" s="32" t="s">
        <v>3409</v>
      </c>
      <c r="I1" s="34"/>
      <c r="J1" s="34"/>
    </row>
    <row r="2" spans="1:11" x14ac:dyDescent="0.25">
      <c r="A2" s="35"/>
      <c r="B2" s="36"/>
      <c r="E2" s="36"/>
      <c r="F2" s="36"/>
      <c r="I2" s="34"/>
      <c r="J2" s="34"/>
    </row>
    <row r="3" spans="1:11" x14ac:dyDescent="0.25">
      <c r="E3" s="37" t="s">
        <v>2</v>
      </c>
      <c r="F3" s="38" t="s">
        <v>3410</v>
      </c>
      <c r="G3" s="33" t="s">
        <v>4</v>
      </c>
      <c r="I3" s="37" t="s">
        <v>3411</v>
      </c>
      <c r="J3" s="38" t="s">
        <v>3412</v>
      </c>
      <c r="K3" s="39" t="s">
        <v>3413</v>
      </c>
    </row>
    <row r="4" spans="1:11" x14ac:dyDescent="0.25">
      <c r="B4" s="38" t="s">
        <v>7</v>
      </c>
      <c r="C4" s="38" t="s">
        <v>8</v>
      </c>
      <c r="D4" s="38" t="s">
        <v>9</v>
      </c>
      <c r="E4" s="38" t="s">
        <v>10</v>
      </c>
      <c r="F4" s="38" t="s">
        <v>11</v>
      </c>
      <c r="G4" s="38" t="s">
        <v>12</v>
      </c>
      <c r="H4" s="38"/>
      <c r="I4" s="38" t="s">
        <v>3414</v>
      </c>
      <c r="J4" s="38" t="s">
        <v>3415</v>
      </c>
      <c r="K4" s="38" t="s">
        <v>3416</v>
      </c>
    </row>
    <row r="5" spans="1:11" x14ac:dyDescent="0.25">
      <c r="B5" s="38" t="s">
        <v>15</v>
      </c>
      <c r="C5" s="38" t="s">
        <v>15</v>
      </c>
      <c r="D5" s="38" t="s">
        <v>15</v>
      </c>
      <c r="E5" s="38" t="s">
        <v>16</v>
      </c>
      <c r="F5" s="40">
        <v>45889</v>
      </c>
      <c r="G5" s="38" t="s">
        <v>17</v>
      </c>
      <c r="H5" s="38"/>
      <c r="I5" s="38" t="s">
        <v>13</v>
      </c>
      <c r="J5" s="38" t="s">
        <v>3417</v>
      </c>
      <c r="K5" s="38" t="s">
        <v>13</v>
      </c>
    </row>
    <row r="6" spans="1:11" x14ac:dyDescent="0.25">
      <c r="A6" t="s">
        <v>19</v>
      </c>
      <c r="B6" s="33" t="s">
        <v>20</v>
      </c>
      <c r="C6" s="33" t="s">
        <v>21</v>
      </c>
      <c r="D6" s="33" t="s">
        <v>22</v>
      </c>
      <c r="E6" s="33" t="s">
        <v>23</v>
      </c>
      <c r="F6" s="33" t="s">
        <v>24</v>
      </c>
      <c r="G6" s="33" t="s">
        <v>20</v>
      </c>
      <c r="I6" s="33" t="s">
        <v>24</v>
      </c>
      <c r="J6" s="33" t="s">
        <v>20</v>
      </c>
      <c r="K6" s="33" t="s">
        <v>20</v>
      </c>
    </row>
    <row r="7" spans="1:11" x14ac:dyDescent="0.25">
      <c r="A7" s="36"/>
      <c r="B7" s="41"/>
      <c r="C7" s="41"/>
      <c r="D7" s="41"/>
      <c r="E7" s="41"/>
      <c r="F7" s="41"/>
      <c r="G7" s="38"/>
      <c r="H7" s="41"/>
      <c r="I7" s="41"/>
      <c r="J7" s="41"/>
    </row>
    <row r="8" spans="1:11" x14ac:dyDescent="0.25">
      <c r="B8" s="41"/>
      <c r="C8" s="41"/>
      <c r="D8" s="41"/>
      <c r="E8" s="42"/>
      <c r="F8" s="41"/>
      <c r="G8" s="38"/>
      <c r="H8" s="41"/>
      <c r="I8" s="41"/>
      <c r="J8" s="41"/>
    </row>
    <row r="9" spans="1:11" x14ac:dyDescent="0.25">
      <c r="B9" s="41"/>
      <c r="C9" s="41"/>
      <c r="D9" s="41"/>
      <c r="E9" s="42"/>
      <c r="F9" s="41"/>
      <c r="G9" s="38"/>
      <c r="H9" s="41"/>
      <c r="I9" s="41"/>
      <c r="J9" s="41"/>
    </row>
    <row r="10" spans="1:11" x14ac:dyDescent="0.25">
      <c r="B10" s="43"/>
      <c r="C10" s="44"/>
      <c r="D10" s="45"/>
      <c r="E10" s="45"/>
      <c r="F10" s="45"/>
      <c r="G10" s="46"/>
      <c r="H10" s="45"/>
      <c r="I10" s="45"/>
      <c r="J10" s="45"/>
    </row>
    <row r="11" spans="1:11" x14ac:dyDescent="0.25">
      <c r="B11" s="47"/>
      <c r="E11" s="47"/>
      <c r="F11" s="47"/>
    </row>
    <row r="12" spans="1:11" x14ac:dyDescent="0.25">
      <c r="A12" s="49" t="s">
        <v>3418</v>
      </c>
      <c r="C12" s="50" t="s">
        <v>3419</v>
      </c>
      <c r="D12" s="50"/>
      <c r="H12" s="50"/>
    </row>
    <row r="13" spans="1:11" x14ac:dyDescent="0.25">
      <c r="A13" s="49"/>
      <c r="B13" s="51"/>
      <c r="C13" s="50"/>
      <c r="D13" s="50"/>
      <c r="E13" s="51"/>
      <c r="F13" s="51"/>
      <c r="H13" s="50"/>
    </row>
    <row r="14" spans="1:11" x14ac:dyDescent="0.25">
      <c r="A14" s="39" t="s">
        <v>3420</v>
      </c>
      <c r="B14" s="51">
        <v>5216638</v>
      </c>
      <c r="C14" s="51">
        <v>7013566</v>
      </c>
      <c r="D14" s="51">
        <v>9444859</v>
      </c>
      <c r="E14" s="51">
        <v>13185344</v>
      </c>
      <c r="F14" s="51">
        <v>0</v>
      </c>
      <c r="G14" s="51">
        <v>13185344</v>
      </c>
      <c r="H14" s="51"/>
      <c r="I14" s="51">
        <v>0</v>
      </c>
      <c r="J14" s="51">
        <v>0</v>
      </c>
      <c r="K14" s="52">
        <f>G56</f>
        <v>23548476.59</v>
      </c>
    </row>
    <row r="15" spans="1:11" x14ac:dyDescent="0.25">
      <c r="B15" s="53"/>
      <c r="E15" s="53"/>
      <c r="F15" s="53"/>
      <c r="G15" s="54"/>
    </row>
    <row r="16" spans="1:11" x14ac:dyDescent="0.25">
      <c r="A16" s="55" t="s">
        <v>3421</v>
      </c>
      <c r="B16" s="51">
        <f>('General Fund Revenue'!C238)-B18</f>
        <v>11074039</v>
      </c>
      <c r="C16" s="51">
        <f>('General Fund Revenue'!D238)-C18</f>
        <v>12480985</v>
      </c>
      <c r="D16" s="51">
        <f>('General Fund Revenue'!E238)-D18</f>
        <v>14476579</v>
      </c>
      <c r="E16" s="51">
        <f>('General Fund Revenue'!F238)-E18</f>
        <v>12079859</v>
      </c>
      <c r="F16" s="51">
        <f>('General Fund Revenue'!G238)-F18</f>
        <v>10479783.030000001</v>
      </c>
      <c r="G16" s="51">
        <f>('General Fund Revenue'!H238)-G18</f>
        <v>11542166</v>
      </c>
      <c r="H16" s="51"/>
      <c r="I16" s="51">
        <f>('General Fund Revenue'!J238)-I18</f>
        <v>11843495</v>
      </c>
      <c r="J16" s="51">
        <f>('General Fund Revenue'!K238)-J18</f>
        <v>0</v>
      </c>
      <c r="K16" s="51">
        <f>('General Fund Revenue'!L238)-K18</f>
        <v>11843495</v>
      </c>
    </row>
    <row r="17" spans="1:11" x14ac:dyDescent="0.25">
      <c r="B17" s="51"/>
      <c r="C17" s="51"/>
      <c r="D17" s="51"/>
      <c r="E17" s="51"/>
      <c r="F17" s="51"/>
      <c r="G17" s="51"/>
      <c r="H17" s="51"/>
    </row>
    <row r="18" spans="1:11" x14ac:dyDescent="0.25">
      <c r="A18" s="55" t="s">
        <v>3422</v>
      </c>
      <c r="B18" s="51">
        <f>'General Fund Revenue'!C45</f>
        <v>1600000</v>
      </c>
      <c r="C18" s="51">
        <f>'General Fund Revenue'!D45</f>
        <v>2059643</v>
      </c>
      <c r="D18" s="51">
        <f>'General Fund Revenue'!E45</f>
        <v>2059643</v>
      </c>
      <c r="E18" s="51">
        <f>'General Fund Revenue'!F45</f>
        <v>3643573</v>
      </c>
      <c r="F18" s="51">
        <f>'General Fund Revenue'!G45</f>
        <v>1544732.28</v>
      </c>
      <c r="G18" s="51">
        <f>'General Fund Revenue'!H45</f>
        <v>3643573</v>
      </c>
      <c r="H18" s="51"/>
      <c r="I18" s="51">
        <f>'General Fund Revenue'!J45</f>
        <v>3643573</v>
      </c>
      <c r="J18" s="51">
        <f>'General Fund Revenue'!K45</f>
        <v>0</v>
      </c>
      <c r="K18" s="51">
        <f>'General Fund Revenue'!L45</f>
        <v>3643573</v>
      </c>
    </row>
    <row r="19" spans="1:11" x14ac:dyDescent="0.25">
      <c r="B19" s="51"/>
      <c r="C19" s="51"/>
      <c r="D19" s="51"/>
      <c r="E19" s="51"/>
      <c r="F19" s="51"/>
      <c r="G19" s="51"/>
      <c r="H19" s="51"/>
    </row>
    <row r="20" spans="1:11" x14ac:dyDescent="0.25">
      <c r="A20" s="55" t="s">
        <v>3423</v>
      </c>
      <c r="B20" s="51"/>
      <c r="C20" s="51"/>
      <c r="D20" s="51"/>
      <c r="E20" s="51"/>
      <c r="F20" s="51"/>
      <c r="G20" s="51"/>
      <c r="H20" s="51"/>
    </row>
    <row r="21" spans="1:11" x14ac:dyDescent="0.25">
      <c r="B21" s="51"/>
      <c r="C21" s="51"/>
      <c r="D21" s="51"/>
      <c r="E21" s="51"/>
      <c r="F21" s="51"/>
      <c r="G21" s="51"/>
      <c r="H21" s="51"/>
    </row>
    <row r="22" spans="1:11" x14ac:dyDescent="0.25">
      <c r="A22" s="33" t="s">
        <v>3424</v>
      </c>
      <c r="B22" s="51">
        <f>Admin!C112</f>
        <v>292410</v>
      </c>
      <c r="C22" s="51">
        <f>Admin!D112</f>
        <v>495339</v>
      </c>
      <c r="D22" s="51">
        <f>Admin!E112</f>
        <v>410794</v>
      </c>
      <c r="E22" s="51">
        <f>(Admin!F112)-Admin!F40</f>
        <v>144067</v>
      </c>
      <c r="F22" s="51">
        <f>(Admin!G112)-Admin!G40</f>
        <v>89702.260000000009</v>
      </c>
      <c r="G22" s="51">
        <f>(Admin!H112)-Admin!H40</f>
        <v>0</v>
      </c>
      <c r="H22" s="51"/>
      <c r="I22" s="51">
        <f>(Admin!J112)-Admin!J40</f>
        <v>64600</v>
      </c>
      <c r="J22" s="51">
        <f>(Admin!K112)-Admin!K40</f>
        <v>0</v>
      </c>
      <c r="K22" s="51">
        <f>(Admin!L112)-Admin!L40</f>
        <v>64600</v>
      </c>
    </row>
    <row r="23" spans="1:11" x14ac:dyDescent="0.25">
      <c r="A23" s="33" t="s">
        <v>3425</v>
      </c>
      <c r="B23" s="51">
        <f>'Non Departmental'!C73</f>
        <v>148851</v>
      </c>
      <c r="C23" s="51">
        <f>'Non Departmental'!D73</f>
        <v>231610</v>
      </c>
      <c r="D23" s="51">
        <f>'Non Departmental'!E73</f>
        <v>367357</v>
      </c>
      <c r="E23" s="51">
        <f>'Non Departmental'!F73</f>
        <v>885796</v>
      </c>
      <c r="F23" s="51">
        <f>'Non Departmental'!G73</f>
        <v>301146.31</v>
      </c>
      <c r="G23" s="51">
        <f>'Non Departmental'!H73</f>
        <v>337986</v>
      </c>
      <c r="H23" s="51"/>
      <c r="I23" s="51">
        <f>'Non Departmental'!J73</f>
        <v>138250</v>
      </c>
      <c r="J23" s="51">
        <f>'Non Departmental'!K73</f>
        <v>40350</v>
      </c>
      <c r="K23" s="51">
        <f>'Non Departmental'!L73</f>
        <v>178600</v>
      </c>
    </row>
    <row r="24" spans="1:11" x14ac:dyDescent="0.25">
      <c r="A24" s="33" t="s">
        <v>3426</v>
      </c>
      <c r="B24" s="51">
        <f>'Development Service'!C116</f>
        <v>887058</v>
      </c>
      <c r="C24" s="51">
        <f>'Development Service'!D116</f>
        <v>1038672</v>
      </c>
      <c r="D24" s="51">
        <f>'Development Service'!E116</f>
        <v>1056120</v>
      </c>
      <c r="E24" s="51">
        <f>('Development Service'!F116)-'Development Service'!F44</f>
        <v>459839</v>
      </c>
      <c r="F24" s="51">
        <f>('Development Service'!G116)-'Development Service'!G44</f>
        <v>485384.10999999993</v>
      </c>
      <c r="G24" s="51">
        <f>('Development Service'!H116)-'Development Service'!H44</f>
        <v>539204.88000000012</v>
      </c>
      <c r="H24" s="51"/>
      <c r="I24" s="51">
        <f>('Development Service'!J116)-'Development Service'!J44</f>
        <v>248240.74300000002</v>
      </c>
      <c r="J24" s="51">
        <f>('Development Service'!K116)-'Development Service'!K44</f>
        <v>0</v>
      </c>
      <c r="K24" s="51">
        <f>('Development Service'!L116)-'Development Service'!L44</f>
        <v>248240.74300000002</v>
      </c>
    </row>
    <row r="25" spans="1:11" x14ac:dyDescent="0.25">
      <c r="A25" s="33" t="s">
        <v>3427</v>
      </c>
      <c r="B25" s="51">
        <f>Finance!C97</f>
        <v>297441</v>
      </c>
      <c r="C25" s="51">
        <f>Finance!D97</f>
        <v>412206</v>
      </c>
      <c r="D25" s="51">
        <f>Finance!E97</f>
        <v>693094</v>
      </c>
      <c r="E25" s="51">
        <f>(Finance!F97)-Finance!F40</f>
        <v>99415</v>
      </c>
      <c r="F25" s="51">
        <f>Finance!G97-Finance!G40</f>
        <v>76567.76999999996</v>
      </c>
      <c r="G25" s="51">
        <f>Finance!H97-Finance!H40</f>
        <v>128700</v>
      </c>
      <c r="H25" s="51"/>
      <c r="I25" s="51">
        <f>(Finance!J97)-Finance!J40</f>
        <v>113910.00000000006</v>
      </c>
      <c r="J25" s="51">
        <f>Finance!K97-Finance!K40</f>
        <v>0</v>
      </c>
      <c r="K25" s="51">
        <f>Finance!L97-Finance!L40</f>
        <v>113910</v>
      </c>
    </row>
    <row r="26" spans="1:11" x14ac:dyDescent="0.25">
      <c r="A26" s="33" t="s">
        <v>3428</v>
      </c>
      <c r="B26" s="51">
        <f>HR!C97</f>
        <v>154903</v>
      </c>
      <c r="C26" s="51">
        <f>HR!D97</f>
        <v>168185</v>
      </c>
      <c r="D26" s="51">
        <f>HR!E97</f>
        <v>172100</v>
      </c>
      <c r="E26" s="51">
        <f>(HR!F97)-HR!F33</f>
        <v>62800</v>
      </c>
      <c r="F26" s="51">
        <f>(HR!G97)-HR!G33</f>
        <v>25675.000000000015</v>
      </c>
      <c r="G26" s="51">
        <f>(HR!H97)-HR!H33</f>
        <v>44885.999999999985</v>
      </c>
      <c r="H26" s="51"/>
      <c r="I26" s="51">
        <f>(HR!J97)-HR!J33</f>
        <v>56250</v>
      </c>
      <c r="J26" s="51">
        <f>(HR!K97)-HR!K33</f>
        <v>0</v>
      </c>
      <c r="K26" s="51">
        <f>(HR!L97)-HR!L33</f>
        <v>56250</v>
      </c>
    </row>
    <row r="27" spans="1:11" x14ac:dyDescent="0.25">
      <c r="A27" s="33" t="s">
        <v>3429</v>
      </c>
      <c r="B27" s="51">
        <f>Court!C91</f>
        <v>174735</v>
      </c>
      <c r="C27" s="51">
        <f>Court!D91</f>
        <v>196093</v>
      </c>
      <c r="D27" s="51">
        <f>Court!E91</f>
        <v>185132</v>
      </c>
      <c r="E27" s="51">
        <f>(Court!F91)-Court!F32</f>
        <v>70700</v>
      </c>
      <c r="F27" s="51">
        <f>(Court!G91)-Court!G32</f>
        <v>21152.809999999998</v>
      </c>
      <c r="G27" s="51">
        <f>(Court!H91)-Court!H32</f>
        <v>54149</v>
      </c>
      <c r="H27" s="51"/>
      <c r="I27" s="51">
        <f>(Court!J91)-Court!J32</f>
        <v>70495</v>
      </c>
      <c r="J27" s="51">
        <f>(Court!K91)-Court!K32</f>
        <v>0</v>
      </c>
      <c r="K27" s="51">
        <f>(Court!L91)-Court!L32</f>
        <v>70495</v>
      </c>
    </row>
    <row r="28" spans="1:11" x14ac:dyDescent="0.25">
      <c r="A28" s="33" t="s">
        <v>3430</v>
      </c>
      <c r="B28" s="51">
        <f>'City Secretary'!C77</f>
        <v>121026</v>
      </c>
      <c r="C28" s="51">
        <f>'City Secretary'!D77</f>
        <v>118461</v>
      </c>
      <c r="D28" s="51">
        <f>'City Secretary'!E77</f>
        <v>154175</v>
      </c>
      <c r="E28" s="51">
        <f>('City Secretary'!F77)-'City Secretary'!F31</f>
        <v>43130</v>
      </c>
      <c r="F28" s="51">
        <f>('City Secretary'!G77)-'City Secretary'!G31</f>
        <v>98381.800000000017</v>
      </c>
      <c r="G28" s="51">
        <f>('City Secretary'!H77)-'City Secretary'!H31</f>
        <v>117135</v>
      </c>
      <c r="H28" s="51"/>
      <c r="I28" s="51">
        <f>('City Secretary'!J77)-'City Secretary'!J31</f>
        <v>58134.999999999985</v>
      </c>
      <c r="J28" s="51">
        <f>('City Secretary'!K77)-'City Secretary'!K31</f>
        <v>0</v>
      </c>
      <c r="K28" s="51">
        <f>('City Secretary'!L77)-'City Secretary'!L31</f>
        <v>58134.999999999985</v>
      </c>
    </row>
    <row r="29" spans="1:11" x14ac:dyDescent="0.25">
      <c r="A29" s="33" t="s">
        <v>3431</v>
      </c>
      <c r="B29" s="51">
        <f>'Economic Development'!C112</f>
        <v>285913</v>
      </c>
      <c r="C29" s="51">
        <f>'Economic Development'!D112</f>
        <v>256923</v>
      </c>
      <c r="D29" s="51">
        <f>'Economic Development'!E112</f>
        <v>254570</v>
      </c>
      <c r="E29" s="51">
        <f>('Economic Development'!F112)-'Economic Development'!F35</f>
        <v>67075</v>
      </c>
      <c r="F29" s="51">
        <f>('Economic Development'!G112)-'Economic Development'!G35</f>
        <v>42264.51999999999</v>
      </c>
      <c r="G29" s="51">
        <f>('Economic Development'!H112)-'Economic Development'!H35</f>
        <v>49554</v>
      </c>
      <c r="H29" s="51"/>
      <c r="I29" s="51">
        <f>('Economic Development'!J112)-'Economic Development'!J35</f>
        <v>69900</v>
      </c>
      <c r="J29" s="51">
        <f>('Economic Development'!K112)-'Economic Development'!K35</f>
        <v>5000</v>
      </c>
      <c r="K29" s="51">
        <f>('Economic Development'!L112)-'Economic Development'!L35</f>
        <v>74900</v>
      </c>
    </row>
    <row r="30" spans="1:11" x14ac:dyDescent="0.25">
      <c r="A30" s="33" t="s">
        <v>3432</v>
      </c>
      <c r="B30" s="51">
        <f>Legal!C95</f>
        <v>209267</v>
      </c>
      <c r="C30" s="51">
        <f>Legal!D95</f>
        <v>427268</v>
      </c>
      <c r="D30" s="51">
        <f>Legal!E95</f>
        <v>474430</v>
      </c>
      <c r="E30" s="51">
        <f>Legal!F95</f>
        <v>405000</v>
      </c>
      <c r="F30" s="51">
        <f>Legal!G95</f>
        <v>328524.51</v>
      </c>
      <c r="G30" s="51">
        <f>Legal!H95</f>
        <v>405000</v>
      </c>
      <c r="H30" s="51"/>
      <c r="I30" s="51">
        <f>Legal!J95</f>
        <v>450000</v>
      </c>
      <c r="J30" s="51">
        <f>Legal!K95</f>
        <v>0</v>
      </c>
      <c r="K30" s="51">
        <f>Legal!L95</f>
        <v>450000</v>
      </c>
    </row>
    <row r="31" spans="1:11" x14ac:dyDescent="0.25">
      <c r="A31" s="33" t="s">
        <v>3433</v>
      </c>
      <c r="B31" s="51">
        <f>'Police Department'!C170</f>
        <v>2206657</v>
      </c>
      <c r="C31" s="51">
        <f>'Police Department'!D170</f>
        <v>2833629</v>
      </c>
      <c r="D31" s="51">
        <f>'Police Department'!E170</f>
        <v>3028028</v>
      </c>
      <c r="E31" s="51">
        <f>('Police Department'!F170)-'Police Department'!F48</f>
        <v>893667</v>
      </c>
      <c r="F31" s="51">
        <f>('Police Department'!G170)-'Police Department'!G48</f>
        <v>423907.85999999987</v>
      </c>
      <c r="G31" s="51">
        <f>('Police Department'!H170)-'Police Department'!H48</f>
        <v>561957</v>
      </c>
      <c r="H31" s="51"/>
      <c r="I31" s="51">
        <f>('Police Department'!J170)-'Police Department'!J48</f>
        <v>780809.28000000026</v>
      </c>
      <c r="J31" s="51">
        <f>('Police Department'!K170)-'Police Department'!K48</f>
        <v>60000</v>
      </c>
      <c r="K31" s="51">
        <f>('Police Department'!L170)-'Police Department'!L48</f>
        <v>840809.28000000026</v>
      </c>
    </row>
    <row r="32" spans="1:11" x14ac:dyDescent="0.25">
      <c r="A32" s="33" t="s">
        <v>3434</v>
      </c>
      <c r="B32" s="51">
        <f>'Code Enforcement'!C99</f>
        <v>0</v>
      </c>
      <c r="C32" s="51">
        <f>'Code Enforcement'!D99</f>
        <v>0</v>
      </c>
      <c r="D32" s="51">
        <f>'Code Enforcement'!E99</f>
        <v>0</v>
      </c>
      <c r="E32" s="51">
        <f>('Code Enforcement'!F99)-'Code Enforcement'!F34</f>
        <v>67600</v>
      </c>
      <c r="F32" s="51">
        <f>('Code Enforcement'!G99)-'Code Enforcement'!G34</f>
        <v>57702.679999999978</v>
      </c>
      <c r="G32" s="51">
        <f>('Code Enforcement'!H99)-'Code Enforcement'!H34</f>
        <v>61500</v>
      </c>
      <c r="H32" s="51"/>
      <c r="I32" s="51">
        <f>('Code Enforcement'!J99)-'Code Enforcement'!J34</f>
        <v>63100</v>
      </c>
      <c r="J32" s="51">
        <f>('Code Enforcement'!K99)-'Code Enforcement'!K34</f>
        <v>5000</v>
      </c>
      <c r="K32" s="51">
        <f>('Code Enforcement'!L99)-'Code Enforcement'!L34</f>
        <v>68100</v>
      </c>
    </row>
    <row r="33" spans="1:11" x14ac:dyDescent="0.25">
      <c r="A33" s="33" t="s">
        <v>3435</v>
      </c>
      <c r="B33" s="51">
        <f>Dispatch!C94</f>
        <v>372680</v>
      </c>
      <c r="C33" s="51">
        <f>Dispatch!D94</f>
        <v>508121</v>
      </c>
      <c r="D33" s="51">
        <f>Dispatch!E94</f>
        <v>475522</v>
      </c>
      <c r="E33" s="51">
        <f>(Dispatch!F94)-Dispatch!F39</f>
        <v>59398</v>
      </c>
      <c r="F33" s="51">
        <f>(Dispatch!G94)-Dispatch!G39</f>
        <v>15346.179999999993</v>
      </c>
      <c r="G33" s="51">
        <f>(Dispatch!H94)-Dispatch!H39</f>
        <v>16123</v>
      </c>
      <c r="H33" s="51"/>
      <c r="I33" s="51">
        <f>(Dispatch!J94)-Dispatch!J39</f>
        <v>34100</v>
      </c>
      <c r="J33" s="51">
        <f>(Dispatch!K94)-Dispatch!K39</f>
        <v>3000</v>
      </c>
      <c r="K33" s="51">
        <f>(Dispatch!L94)-Dispatch!L39</f>
        <v>37100</v>
      </c>
    </row>
    <row r="34" spans="1:11" x14ac:dyDescent="0.25">
      <c r="A34" s="33" t="s">
        <v>3436</v>
      </c>
      <c r="B34" s="51">
        <f>Streets!C129</f>
        <v>3049647</v>
      </c>
      <c r="C34" s="51">
        <f>Streets!D129</f>
        <v>1790206</v>
      </c>
      <c r="D34" s="51">
        <f>Streets!E129</f>
        <v>2239703</v>
      </c>
      <c r="E34" s="51">
        <f>(Streets!F129)-Streets!F38</f>
        <v>456793</v>
      </c>
      <c r="F34" s="51">
        <f>(Streets!G129)-Streets!G38</f>
        <v>237570.99</v>
      </c>
      <c r="G34" s="51">
        <f>(Streets!H129)-Streets!H38</f>
        <v>302177</v>
      </c>
      <c r="H34" s="51"/>
      <c r="I34" s="51">
        <f>(Streets!J129)-Streets!J38</f>
        <v>406143.30000000005</v>
      </c>
      <c r="J34" s="51">
        <f>(Streets!K129)-Streets!K38</f>
        <v>2691</v>
      </c>
      <c r="K34" s="51">
        <f>(Streets!L129)-Streets!L38</f>
        <v>408834.30000000005</v>
      </c>
    </row>
    <row r="35" spans="1:11" x14ac:dyDescent="0.25">
      <c r="A35" s="33" t="s">
        <v>3437</v>
      </c>
      <c r="B35" s="51">
        <f>'Solid Waste'!C65</f>
        <v>993482</v>
      </c>
      <c r="C35" s="51">
        <f>'Solid Waste'!D65</f>
        <v>1202774</v>
      </c>
      <c r="D35" s="51">
        <f>'Solid Waste'!E65</f>
        <v>1134736</v>
      </c>
      <c r="E35" s="51">
        <f>'Solid Waste'!F65</f>
        <v>1333171</v>
      </c>
      <c r="F35" s="51">
        <f>'Solid Waste'!G65</f>
        <v>1138050.82</v>
      </c>
      <c r="G35" s="51">
        <f>'Solid Waste'!H65</f>
        <v>1239275</v>
      </c>
      <c r="H35" s="51"/>
      <c r="I35" s="51">
        <f>'Solid Waste'!J65</f>
        <v>1207780.8</v>
      </c>
      <c r="J35" s="51">
        <f>'Solid Waste'!K65</f>
        <v>57859</v>
      </c>
      <c r="K35" s="51">
        <f>'Solid Waste'!L65</f>
        <v>1265639.8</v>
      </c>
    </row>
    <row r="36" spans="1:11" x14ac:dyDescent="0.25">
      <c r="A36" s="33" t="s">
        <v>3438</v>
      </c>
      <c r="B36" s="51">
        <f>'Building Maintenance'!C49</f>
        <v>34506</v>
      </c>
      <c r="C36" s="51">
        <f>'Building Maintenance'!D49</f>
        <v>46070</v>
      </c>
      <c r="D36" s="51">
        <f>'Building Maintenance'!E49</f>
        <v>57456</v>
      </c>
      <c r="E36" s="51">
        <f>'Building Maintenance'!F49</f>
        <v>90950</v>
      </c>
      <c r="F36" s="51">
        <f>'Building Maintenance'!G49</f>
        <v>64714.880000000005</v>
      </c>
      <c r="G36" s="51">
        <f>'Building Maintenance'!H49</f>
        <v>74930</v>
      </c>
      <c r="H36" s="51"/>
      <c r="I36" s="51">
        <f>'Building Maintenance'!J49</f>
        <v>45130</v>
      </c>
      <c r="J36" s="51">
        <f>'Building Maintenance'!K49</f>
        <v>0</v>
      </c>
      <c r="K36" s="51">
        <f>'Building Maintenance'!L49</f>
        <v>45130</v>
      </c>
    </row>
    <row r="37" spans="1:11" x14ac:dyDescent="0.25">
      <c r="A37" s="33" t="s">
        <v>3439</v>
      </c>
      <c r="B37" s="51">
        <f>'Parks &amp; Rec'!C115</f>
        <v>374670</v>
      </c>
      <c r="C37" s="51">
        <f>'Parks &amp; Rec'!D115</f>
        <v>660780</v>
      </c>
      <c r="D37" s="51">
        <f>'Parks &amp; Rec'!E115</f>
        <v>396360</v>
      </c>
      <c r="E37" s="65">
        <f>('Parks &amp; Rec'!F115)-('Parks &amp; Rec'!F42+'Parks &amp; Rec'!F100+'Parks &amp; Rec'!F101)</f>
        <v>295897</v>
      </c>
      <c r="F37" s="65">
        <f>('Parks &amp; Rec'!G115)-('Parks &amp; Rec'!G42+'Parks &amp; Rec'!G100+'Parks &amp; Rec'!G101)</f>
        <v>223981.91000000003</v>
      </c>
      <c r="G37" s="65">
        <f>('Parks &amp; Rec'!H115)-('Parks &amp; Rec'!H42+219750)</f>
        <v>264211.61</v>
      </c>
      <c r="H37" s="65"/>
      <c r="I37" s="65">
        <f>('Parks &amp; Rec'!J115)-('Parks &amp; Rec'!J42+'Parks &amp; Rec'!J100+'Parks &amp; Rec'!J101)</f>
        <v>175052.17099999997</v>
      </c>
      <c r="J37" s="65">
        <f>('Parks &amp; Rec'!K115)-'Parks &amp; Rec'!K42</f>
        <v>100000</v>
      </c>
      <c r="K37" s="65">
        <f>('Parks &amp; Rec'!L115)-('Parks &amp; Rec'!L42+425250)</f>
        <v>241952.17099999997</v>
      </c>
    </row>
    <row r="38" spans="1:11" x14ac:dyDescent="0.25">
      <c r="A38" s="33" t="s">
        <v>3440</v>
      </c>
      <c r="B38" s="51">
        <f>Aquatics!C73</f>
        <v>156283</v>
      </c>
      <c r="C38" s="51">
        <f>Aquatics!D73</f>
        <v>96685</v>
      </c>
      <c r="D38" s="51">
        <f>Aquatics!E73</f>
        <v>233767</v>
      </c>
      <c r="E38" s="51">
        <f>Aquatics!F73</f>
        <v>176742</v>
      </c>
      <c r="F38" s="51">
        <f>Aquatics!G73</f>
        <v>113246.23999999999</v>
      </c>
      <c r="G38" s="51">
        <f>Aquatics!H73</f>
        <v>135587.78</v>
      </c>
      <c r="H38" s="51"/>
      <c r="I38" s="51">
        <f>Aquatics!J73</f>
        <v>158370.95799999998</v>
      </c>
      <c r="J38" s="51">
        <f>Aquatics!K73</f>
        <v>16000</v>
      </c>
      <c r="K38" s="51">
        <f>Aquatics!L73</f>
        <v>174370.95799999998</v>
      </c>
    </row>
    <row r="39" spans="1:11" hidden="1" x14ac:dyDescent="0.25">
      <c r="A39" s="33" t="s">
        <v>3441</v>
      </c>
      <c r="B39" s="51"/>
      <c r="C39" s="51"/>
      <c r="D39" s="51"/>
      <c r="E39" s="51"/>
      <c r="F39" s="51"/>
      <c r="G39" s="56"/>
      <c r="H39" s="51"/>
      <c r="I39" s="51"/>
      <c r="J39" s="51"/>
    </row>
    <row r="40" spans="1:11" x14ac:dyDescent="0.25">
      <c r="A40" s="33" t="s">
        <v>3442</v>
      </c>
      <c r="B40" s="51">
        <f>Library!C96</f>
        <v>215209</v>
      </c>
      <c r="C40" s="51">
        <f>Library!D96</f>
        <v>271486</v>
      </c>
      <c r="D40" s="51">
        <f>Library!E96</f>
        <v>333800</v>
      </c>
      <c r="E40" s="51">
        <f>(Library!F96)-Library!F34</f>
        <v>78495</v>
      </c>
      <c r="F40" s="51">
        <f>(Library!G96)-Library!G34</f>
        <v>56543.98000000001</v>
      </c>
      <c r="G40" s="51">
        <f>(Library!H96)-Library!H34</f>
        <v>73385</v>
      </c>
      <c r="H40" s="51"/>
      <c r="I40" s="51">
        <f>(Library!J96)-Library!J34</f>
        <v>56609.700000000012</v>
      </c>
      <c r="J40" s="51">
        <f>(Library!K96)-Library!K34</f>
        <v>0</v>
      </c>
      <c r="K40" s="51">
        <f>(Library!L96)-Library!L34</f>
        <v>56609.700000000012</v>
      </c>
    </row>
    <row r="41" spans="1:11" x14ac:dyDescent="0.25">
      <c r="A41" s="33" t="s">
        <v>3443</v>
      </c>
      <c r="B41" s="51">
        <f>'City Council'!C47</f>
        <v>14265</v>
      </c>
      <c r="C41" s="51">
        <f>'City Council'!D47</f>
        <v>41139</v>
      </c>
      <c r="D41" s="51">
        <f>'City Council'!E47</f>
        <v>21267</v>
      </c>
      <c r="E41" s="51">
        <f>'City Council'!F47</f>
        <v>25500</v>
      </c>
      <c r="F41" s="51">
        <f>'City Council'!G47</f>
        <v>21590.81</v>
      </c>
      <c r="G41" s="51">
        <f>'City Council'!H47</f>
        <v>28500</v>
      </c>
      <c r="H41" s="51"/>
      <c r="I41" s="51">
        <f>'City Council'!J47</f>
        <v>28500</v>
      </c>
      <c r="J41" s="51">
        <f>'City Council'!K47</f>
        <v>0</v>
      </c>
      <c r="K41" s="51">
        <f>'City Council'!L47</f>
        <v>28500</v>
      </c>
    </row>
    <row r="42" spans="1:11" x14ac:dyDescent="0.25">
      <c r="A42" s="33" t="s">
        <v>3444</v>
      </c>
      <c r="B42" s="51">
        <f>'General Fund IT'!C90</f>
        <v>0</v>
      </c>
      <c r="C42" s="51">
        <f>'General Fund IT'!D90</f>
        <v>542462</v>
      </c>
      <c r="D42" s="51">
        <f>'General Fund IT'!E90</f>
        <v>501918</v>
      </c>
      <c r="E42" s="51">
        <f>('General Fund IT'!F90)-'General Fund IT'!F37</f>
        <v>530263</v>
      </c>
      <c r="F42" s="51">
        <f>('General Fund IT'!G90)-'General Fund IT'!G37</f>
        <v>348205.52999999991</v>
      </c>
      <c r="G42" s="51">
        <f>('General Fund IT'!H90)-'General Fund IT'!H37</f>
        <v>388345.14000000007</v>
      </c>
      <c r="H42" s="51"/>
      <c r="I42" s="51">
        <f>('General Fund IT'!J90)-'General Fund IT'!J37</f>
        <v>396228.554</v>
      </c>
      <c r="J42" s="51">
        <f>('General Fund IT'!K90)-'General Fund IT'!K37</f>
        <v>0</v>
      </c>
      <c r="K42" s="51">
        <f>('General Fund IT'!L90)-'General Fund IT'!L37</f>
        <v>396228.554</v>
      </c>
    </row>
    <row r="43" spans="1:11" x14ac:dyDescent="0.25">
      <c r="A43" s="33" t="s">
        <v>3445</v>
      </c>
      <c r="B43" s="51">
        <f>'General Fund Transfers'!C16</f>
        <v>0</v>
      </c>
      <c r="C43" s="51">
        <f>'General Fund Transfers'!D16</f>
        <v>0</v>
      </c>
      <c r="D43" s="51">
        <f>'General Fund Transfers'!E16</f>
        <v>0</v>
      </c>
      <c r="E43" s="51">
        <f>'General Fund Transfers'!F16</f>
        <v>92299</v>
      </c>
      <c r="F43" s="51">
        <f>'General Fund Transfers'!G16</f>
        <v>0</v>
      </c>
      <c r="G43" s="51">
        <f>'General Fund Transfers'!H16</f>
        <v>0</v>
      </c>
      <c r="H43" s="51"/>
      <c r="I43" s="51">
        <f>'General Fund Transfers'!J16</f>
        <v>100000</v>
      </c>
      <c r="J43" s="51">
        <f>'General Fund Transfers'!K16</f>
        <v>0</v>
      </c>
      <c r="K43" s="51">
        <f>'General Fund Transfers'!L16</f>
        <v>100000</v>
      </c>
    </row>
    <row r="44" spans="1:11" x14ac:dyDescent="0.25">
      <c r="A44" s="33" t="s">
        <v>3446</v>
      </c>
      <c r="B44" s="51">
        <f>'General Fund Transfers'!C15</f>
        <v>407000</v>
      </c>
      <c r="C44" s="51">
        <f>'General Fund Transfers'!D15</f>
        <v>0</v>
      </c>
      <c r="D44" s="51">
        <f>'General Fund Transfers'!E15</f>
        <v>0</v>
      </c>
      <c r="E44" s="51">
        <f>'General Fund Transfers'!F15</f>
        <v>0</v>
      </c>
      <c r="F44" s="51">
        <f>'General Fund Transfers'!G15</f>
        <v>0</v>
      </c>
      <c r="G44" s="51">
        <f>'General Fund Transfers'!H15</f>
        <v>0</v>
      </c>
      <c r="H44" s="51"/>
      <c r="I44" s="51">
        <f>'General Fund Transfers'!J15</f>
        <v>0</v>
      </c>
      <c r="J44" s="51">
        <f>'General Fund Transfers'!K15</f>
        <v>0</v>
      </c>
      <c r="K44" s="51">
        <f>'General Fund Transfers'!L15</f>
        <v>0</v>
      </c>
    </row>
    <row r="45" spans="1:11" x14ac:dyDescent="0.25">
      <c r="A45" s="33" t="s">
        <v>3447</v>
      </c>
      <c r="B45" s="51">
        <f>'Golf Course Revenue'!C26</f>
        <v>438694</v>
      </c>
      <c r="C45" s="51">
        <f>'Golf Course Revenue'!D26</f>
        <v>800000</v>
      </c>
      <c r="D45" s="51">
        <f>'Golf Course Revenue'!E26</f>
        <v>800000</v>
      </c>
      <c r="E45" s="51">
        <f>'Golf Course Revenue'!F26</f>
        <v>970519</v>
      </c>
      <c r="F45" s="51">
        <f>'Golf Course Revenue'!G26</f>
        <v>0</v>
      </c>
      <c r="G45" s="51">
        <f>'Golf Course Revenue'!H26</f>
        <v>0</v>
      </c>
      <c r="H45" s="51"/>
      <c r="I45" s="51">
        <f>'Golf Course Revenue'!J26</f>
        <v>250000</v>
      </c>
      <c r="J45" s="51">
        <f>'Golf Course Revenue'!K26</f>
        <v>0</v>
      </c>
      <c r="K45" s="51">
        <f>'Golf Course Revenue'!L26</f>
        <v>250000</v>
      </c>
    </row>
    <row r="46" spans="1:11" hidden="1" x14ac:dyDescent="0.25">
      <c r="A46" s="33" t="s">
        <v>3448</v>
      </c>
      <c r="B46" s="51"/>
      <c r="C46" s="51"/>
      <c r="D46" s="51"/>
      <c r="E46" s="51"/>
      <c r="F46" s="51"/>
      <c r="G46" s="51"/>
      <c r="H46" s="51"/>
      <c r="I46" s="51"/>
    </row>
    <row r="47" spans="1:11" x14ac:dyDescent="0.25">
      <c r="A47" s="33" t="s">
        <v>3449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/>
      <c r="I47" s="51">
        <v>0</v>
      </c>
      <c r="J47" s="51">
        <v>0</v>
      </c>
      <c r="K47" s="52">
        <f>I47+J47</f>
        <v>0</v>
      </c>
    </row>
    <row r="48" spans="1:11" x14ac:dyDescent="0.25">
      <c r="A48" s="33" t="s">
        <v>3450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6">
        <v>0</v>
      </c>
      <c r="H48" s="51"/>
      <c r="I48" s="51">
        <v>0</v>
      </c>
      <c r="J48" s="51">
        <v>0</v>
      </c>
      <c r="K48" s="52">
        <f>I48+J48</f>
        <v>0</v>
      </c>
    </row>
    <row r="49" spans="1:11" x14ac:dyDescent="0.25">
      <c r="B49" s="51"/>
      <c r="C49" s="51"/>
      <c r="D49" s="51"/>
      <c r="E49" s="51"/>
      <c r="F49" s="51"/>
      <c r="G49" s="51"/>
      <c r="H49" s="51"/>
    </row>
    <row r="50" spans="1:11" x14ac:dyDescent="0.25">
      <c r="A50" s="33" t="s">
        <v>3451</v>
      </c>
      <c r="B50" s="51">
        <f>SUM(B22:B48)</f>
        <v>10834697</v>
      </c>
      <c r="C50" s="51">
        <f t="shared" ref="C50:E50" si="0">SUM(C22:C48)</f>
        <v>12138109</v>
      </c>
      <c r="D50" s="51">
        <f t="shared" si="0"/>
        <v>12990329</v>
      </c>
      <c r="E50" s="51">
        <f t="shared" si="0"/>
        <v>7309116</v>
      </c>
      <c r="F50" s="51">
        <f>SUM(F22:F48)</f>
        <v>4169660.97</v>
      </c>
      <c r="G50" s="51">
        <f>SUM(G22:G48)</f>
        <v>4822606.41</v>
      </c>
      <c r="H50" s="51"/>
      <c r="I50" s="51">
        <f>SUM(I22:I48)</f>
        <v>4971605.5059999991</v>
      </c>
      <c r="J50" s="51">
        <f>SUM(J22:J48)</f>
        <v>289900</v>
      </c>
      <c r="K50" s="51">
        <f>SUM(K22:K48)</f>
        <v>5228405.5059999991</v>
      </c>
    </row>
    <row r="51" spans="1:11" x14ac:dyDescent="0.25">
      <c r="B51" s="51"/>
      <c r="C51" s="51"/>
      <c r="D51" s="51"/>
      <c r="E51" s="51"/>
      <c r="F51" s="51"/>
      <c r="G51" s="51"/>
      <c r="H51" s="51"/>
    </row>
    <row r="52" spans="1:11" x14ac:dyDescent="0.25">
      <c r="A52" s="33" t="s">
        <v>3452</v>
      </c>
      <c r="B52" s="51">
        <f>B16+B18-B50</f>
        <v>1839342</v>
      </c>
      <c r="C52" s="51">
        <f t="shared" ref="C52:G52" si="1">C16+C18-C50</f>
        <v>2402519</v>
      </c>
      <c r="D52" s="51">
        <f t="shared" si="1"/>
        <v>3545893</v>
      </c>
      <c r="E52" s="51">
        <f t="shared" si="1"/>
        <v>8414316</v>
      </c>
      <c r="F52" s="51">
        <f t="shared" si="1"/>
        <v>7854854.3399999999</v>
      </c>
      <c r="G52" s="51">
        <f t="shared" si="1"/>
        <v>10363132.59</v>
      </c>
      <c r="H52" s="51"/>
      <c r="I52" s="51">
        <f>I16+I18-I50</f>
        <v>10515462.494000001</v>
      </c>
      <c r="J52" s="51">
        <f>J16+J18-J50</f>
        <v>-289900</v>
      </c>
      <c r="K52" s="51">
        <f>K16+K18-K50</f>
        <v>10258662.494000001</v>
      </c>
    </row>
    <row r="53" spans="1:11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4" spans="1:11" x14ac:dyDescent="0.25">
      <c r="A54" s="55" t="s">
        <v>3453</v>
      </c>
      <c r="B54" s="51">
        <v>-52436</v>
      </c>
      <c r="C54" s="51">
        <v>24114</v>
      </c>
      <c r="D54" s="51">
        <v>180409</v>
      </c>
      <c r="E54" s="51">
        <v>0</v>
      </c>
      <c r="F54" s="51">
        <v>0</v>
      </c>
      <c r="G54" s="51">
        <v>0</v>
      </c>
      <c r="H54" s="51"/>
      <c r="I54" s="51">
        <v>0</v>
      </c>
      <c r="J54" s="51">
        <v>0</v>
      </c>
      <c r="K54" s="51">
        <v>0</v>
      </c>
    </row>
    <row r="55" spans="1:11" x14ac:dyDescent="0.25">
      <c r="B55" s="51"/>
      <c r="C55" s="51"/>
      <c r="D55" s="51"/>
      <c r="E55" s="51"/>
      <c r="F55" s="51"/>
      <c r="G55" s="51"/>
      <c r="H55" s="51"/>
    </row>
    <row r="56" spans="1:11" x14ac:dyDescent="0.25">
      <c r="A56" s="33" t="s">
        <v>3454</v>
      </c>
      <c r="B56" s="51">
        <f>+B14+B16+B18-B50+B54</f>
        <v>7003544</v>
      </c>
      <c r="C56" s="51">
        <f t="shared" ref="C56:G56" si="2">+C14+C16+C18-C50+C54</f>
        <v>9440199</v>
      </c>
      <c r="D56" s="51">
        <f t="shared" si="2"/>
        <v>13171161</v>
      </c>
      <c r="E56" s="51">
        <f t="shared" si="2"/>
        <v>21599660</v>
      </c>
      <c r="F56" s="51">
        <f t="shared" si="2"/>
        <v>7854854.3399999999</v>
      </c>
      <c r="G56" s="51">
        <f t="shared" si="2"/>
        <v>23548476.59</v>
      </c>
      <c r="H56" s="51"/>
      <c r="I56" s="51">
        <f>+I14+I16+I18-I50+I54</f>
        <v>10515462.494000001</v>
      </c>
      <c r="J56" s="51">
        <f>+J14+J16+J18-J50+J54</f>
        <v>-289900</v>
      </c>
      <c r="K56" s="51">
        <f>+K14+K16+K18-K50+K54</f>
        <v>33807139.084000006</v>
      </c>
    </row>
    <row r="57" spans="1:11" x14ac:dyDescent="0.25">
      <c r="B57" s="51"/>
      <c r="C57" s="51"/>
      <c r="D57" s="51"/>
      <c r="E57" s="51"/>
      <c r="F57" s="51"/>
      <c r="G57" s="51"/>
      <c r="H57" s="51"/>
      <c r="I57" s="51"/>
      <c r="J57" s="51"/>
    </row>
    <row r="58" spans="1:11" x14ac:dyDescent="0.25">
      <c r="B58" s="51"/>
      <c r="C58" s="51"/>
      <c r="D58" s="51"/>
      <c r="E58" s="51"/>
      <c r="F58" s="51"/>
      <c r="G58" s="51"/>
      <c r="H58" s="51"/>
      <c r="I58" s="51"/>
      <c r="J58" s="51"/>
    </row>
    <row r="59" spans="1:11" x14ac:dyDescent="0.25">
      <c r="A59" s="49" t="s">
        <v>3455</v>
      </c>
      <c r="B59" s="51"/>
      <c r="C59" s="51"/>
      <c r="D59" s="51"/>
      <c r="E59" s="51"/>
      <c r="F59" s="51"/>
      <c r="G59" s="51"/>
      <c r="H59" s="51"/>
    </row>
    <row r="60" spans="1:11" x14ac:dyDescent="0.25">
      <c r="A60" s="49"/>
      <c r="B60" s="51"/>
      <c r="C60" s="51"/>
      <c r="D60" s="51"/>
      <c r="E60" s="51"/>
      <c r="F60" s="51"/>
      <c r="G60" s="51"/>
      <c r="H60" s="51"/>
    </row>
    <row r="61" spans="1:11" x14ac:dyDescent="0.25">
      <c r="A61" s="33" t="s">
        <v>3420</v>
      </c>
      <c r="B61" s="51">
        <v>1560463</v>
      </c>
      <c r="C61" s="51">
        <v>1490427</v>
      </c>
      <c r="D61" s="51">
        <v>1876942</v>
      </c>
      <c r="E61" s="51">
        <v>1853502</v>
      </c>
      <c r="F61" s="51">
        <v>0</v>
      </c>
      <c r="G61" s="51">
        <v>1853502</v>
      </c>
      <c r="H61" s="51"/>
      <c r="I61" s="51">
        <v>0</v>
      </c>
      <c r="J61" s="51">
        <v>0</v>
      </c>
      <c r="K61" s="51">
        <f>G71</f>
        <v>1831081</v>
      </c>
    </row>
    <row r="62" spans="1:11" x14ac:dyDescent="0.25">
      <c r="B62" s="51"/>
      <c r="C62" s="51"/>
      <c r="D62" s="51"/>
      <c r="E62" s="51"/>
      <c r="F62" s="51"/>
      <c r="G62" s="51"/>
      <c r="H62" s="51"/>
    </row>
    <row r="63" spans="1:11" x14ac:dyDescent="0.25">
      <c r="A63" s="33" t="s">
        <v>3421</v>
      </c>
      <c r="B63" s="51">
        <f>('Aviation Fund'!C34)-B64</f>
        <v>420123</v>
      </c>
      <c r="C63" s="51">
        <f>('Aviation Fund'!D34)-C64</f>
        <v>358297</v>
      </c>
      <c r="D63" s="51">
        <f>('Aviation Fund'!E34)-D64</f>
        <v>343484</v>
      </c>
      <c r="E63" s="51">
        <f>('Aviation Fund'!F34)-E64</f>
        <v>288055</v>
      </c>
      <c r="F63" s="51">
        <f>('Aviation Fund'!G34)-F64</f>
        <v>246484.65999999997</v>
      </c>
      <c r="G63" s="51">
        <f>('Aviation Fund'!H34)-G64</f>
        <v>313710</v>
      </c>
      <c r="H63" s="51"/>
      <c r="I63" s="51">
        <f>('Aviation Fund'!J34)-I64</f>
        <v>293800</v>
      </c>
      <c r="J63" s="51">
        <f>('Aviation Fund'!K34)-J64</f>
        <v>0</v>
      </c>
      <c r="K63" s="51">
        <f>('Aviation Fund'!L34)-K64</f>
        <v>293800</v>
      </c>
    </row>
    <row r="64" spans="1:11" x14ac:dyDescent="0.25">
      <c r="A64" s="33" t="s">
        <v>3456</v>
      </c>
      <c r="B64" s="51">
        <f>'Aviation Fund'!C28+'Aviation Fund'!C29</f>
        <v>0</v>
      </c>
      <c r="C64" s="51">
        <f>'Aviation Fund'!D28+'Aviation Fund'!D29</f>
        <v>357424</v>
      </c>
      <c r="D64" s="51">
        <f>'Aviation Fund'!E28+'Aviation Fund'!E29</f>
        <v>0</v>
      </c>
      <c r="E64" s="51">
        <f>'Aviation Fund'!F28+'Aviation Fund'!F29</f>
        <v>92299</v>
      </c>
      <c r="F64" s="51">
        <f>'Aviation Fund'!G28+'Aviation Fund'!G29</f>
        <v>0</v>
      </c>
      <c r="G64" s="51">
        <f>'Aviation Fund'!H28+'Aviation Fund'!H29</f>
        <v>0</v>
      </c>
      <c r="H64" s="51"/>
      <c r="I64" s="51">
        <f>'Aviation Fund'!J28+'Aviation Fund'!J29</f>
        <v>50000</v>
      </c>
      <c r="J64" s="51">
        <f>'Aviation Fund'!K28+'Aviation Fund'!K29</f>
        <v>0</v>
      </c>
      <c r="K64" s="51">
        <f>'Aviation Fund'!L28+'Aviation Fund'!L29</f>
        <v>50000</v>
      </c>
    </row>
    <row r="65" spans="1:11" x14ac:dyDescent="0.25">
      <c r="A65" s="33" t="s">
        <v>3457</v>
      </c>
      <c r="B65" s="51">
        <f>'Aviation Fund'!C138</f>
        <v>490805</v>
      </c>
      <c r="C65" s="51">
        <f>'Aviation Fund'!D138</f>
        <v>268959</v>
      </c>
      <c r="D65" s="51">
        <f>'Aviation Fund'!E138</f>
        <v>306113</v>
      </c>
      <c r="E65" s="51">
        <f>('Aviation Fund'!F138)-'Aviation Fund'!F71</f>
        <v>363471</v>
      </c>
      <c r="F65" s="51">
        <f>('Aviation Fund'!G138)-'Aviation Fund'!G71</f>
        <v>297543.45</v>
      </c>
      <c r="G65" s="51">
        <f>('Aviation Fund'!H138)-'Aviation Fund'!H71</f>
        <v>336131</v>
      </c>
      <c r="H65" s="51"/>
      <c r="I65" s="51">
        <f>('Aviation Fund'!J138)-'Aviation Fund'!J71</f>
        <v>306426.71000000002</v>
      </c>
      <c r="J65" s="51">
        <f>('Aviation Fund'!K138)-'Aviation Fund'!K71</f>
        <v>0</v>
      </c>
      <c r="K65" s="51">
        <f>('Aviation Fund'!L138)-'Aviation Fund'!L71</f>
        <v>306426.71000000002</v>
      </c>
    </row>
    <row r="66" spans="1:11" x14ac:dyDescent="0.25">
      <c r="B66" s="51"/>
      <c r="C66" s="51"/>
      <c r="D66" s="51"/>
      <c r="E66" s="51"/>
      <c r="F66" s="51"/>
      <c r="G66" s="51"/>
      <c r="H66" s="51"/>
    </row>
    <row r="67" spans="1:11" x14ac:dyDescent="0.25">
      <c r="A67" s="33" t="s">
        <v>3452</v>
      </c>
      <c r="B67" s="51">
        <f t="shared" ref="B67:G67" si="3">B63+B64-B65</f>
        <v>-70682</v>
      </c>
      <c r="C67" s="51">
        <f t="shared" si="3"/>
        <v>446762</v>
      </c>
      <c r="D67" s="51">
        <f t="shared" si="3"/>
        <v>37371</v>
      </c>
      <c r="E67" s="51">
        <f t="shared" si="3"/>
        <v>16883</v>
      </c>
      <c r="F67" s="51">
        <f t="shared" si="3"/>
        <v>-51058.790000000037</v>
      </c>
      <c r="G67" s="51">
        <f t="shared" si="3"/>
        <v>-22421</v>
      </c>
      <c r="H67" s="51"/>
      <c r="I67" s="51">
        <f>I63+I64-I65</f>
        <v>37373.289999999979</v>
      </c>
      <c r="J67" s="51">
        <f>J63+J64-J65</f>
        <v>0</v>
      </c>
      <c r="K67" s="51">
        <f>K63+K64-K65</f>
        <v>37373.289999999979</v>
      </c>
    </row>
    <row r="68" spans="1:11" x14ac:dyDescent="0.25">
      <c r="B68" s="51"/>
      <c r="C68" s="51"/>
      <c r="D68" s="51"/>
      <c r="E68" s="51"/>
      <c r="F68" s="51"/>
      <c r="G68" s="51"/>
      <c r="H68" s="51"/>
      <c r="I68" s="51"/>
      <c r="J68" s="51"/>
    </row>
    <row r="69" spans="1:11" x14ac:dyDescent="0.25">
      <c r="A69" s="55" t="s">
        <v>3453</v>
      </c>
      <c r="B69" s="51">
        <v>646</v>
      </c>
      <c r="C69" s="51">
        <v>-60247</v>
      </c>
      <c r="D69" s="51">
        <v>-60811</v>
      </c>
      <c r="E69" s="51">
        <v>0</v>
      </c>
      <c r="F69" s="51">
        <v>0</v>
      </c>
      <c r="G69" s="51">
        <v>0</v>
      </c>
      <c r="H69" s="51"/>
      <c r="I69" s="51">
        <v>0</v>
      </c>
      <c r="J69" s="51">
        <v>0</v>
      </c>
      <c r="K69" s="52">
        <f>I69+J69</f>
        <v>0</v>
      </c>
    </row>
    <row r="70" spans="1:11" x14ac:dyDescent="0.25">
      <c r="B70" s="51"/>
      <c r="C70" s="51"/>
      <c r="D70" s="51"/>
      <c r="E70" s="51"/>
      <c r="F70" s="51"/>
      <c r="G70" s="51"/>
      <c r="H70" s="51"/>
    </row>
    <row r="71" spans="1:11" x14ac:dyDescent="0.25">
      <c r="A71" s="33" t="s">
        <v>3454</v>
      </c>
      <c r="B71" s="51">
        <f t="shared" ref="B71:G71" si="4">+B61+B63+B64-B65+B69</f>
        <v>1490427</v>
      </c>
      <c r="C71" s="51">
        <f t="shared" si="4"/>
        <v>1876942</v>
      </c>
      <c r="D71" s="51">
        <f t="shared" si="4"/>
        <v>1853502</v>
      </c>
      <c r="E71" s="51">
        <f t="shared" si="4"/>
        <v>1870385</v>
      </c>
      <c r="F71" s="51">
        <f t="shared" si="4"/>
        <v>-51058.790000000037</v>
      </c>
      <c r="G71" s="51">
        <f t="shared" si="4"/>
        <v>1831081</v>
      </c>
      <c r="H71" s="51"/>
      <c r="I71" s="51">
        <f>+I61+I63+I64-I65+I69</f>
        <v>37373.289999999979</v>
      </c>
      <c r="J71" s="51">
        <f>+J61+J63+J64-J65+J69</f>
        <v>0</v>
      </c>
      <c r="K71" s="52">
        <f>I71+J71</f>
        <v>37373.289999999979</v>
      </c>
    </row>
    <row r="72" spans="1:11" x14ac:dyDescent="0.25">
      <c r="B72" s="51"/>
      <c r="C72" s="51"/>
      <c r="D72" s="51"/>
      <c r="E72" s="51"/>
      <c r="F72" s="51"/>
      <c r="G72" s="51"/>
      <c r="H72" s="51"/>
    </row>
    <row r="73" spans="1:11" x14ac:dyDescent="0.25">
      <c r="B73" s="51"/>
      <c r="C73" s="51"/>
      <c r="D73" s="51"/>
      <c r="E73" s="51"/>
      <c r="F73" s="51"/>
      <c r="G73" s="51"/>
      <c r="H73" s="51"/>
    </row>
    <row r="74" spans="1:11" x14ac:dyDescent="0.25">
      <c r="A74" s="49" t="s">
        <v>3458</v>
      </c>
      <c r="B74" s="51"/>
      <c r="C74" s="51"/>
      <c r="D74" s="51"/>
      <c r="E74" s="51"/>
      <c r="F74" s="51"/>
      <c r="G74" s="51"/>
      <c r="H74" s="51"/>
    </row>
    <row r="75" spans="1:11" x14ac:dyDescent="0.25">
      <c r="A75" s="49"/>
      <c r="B75" s="51"/>
      <c r="C75" s="51"/>
      <c r="D75" s="51"/>
      <c r="E75" s="51"/>
      <c r="F75" s="51"/>
      <c r="G75" s="51"/>
      <c r="H75" s="51"/>
    </row>
    <row r="76" spans="1:11" x14ac:dyDescent="0.25">
      <c r="A76" s="39" t="s">
        <v>3420</v>
      </c>
      <c r="B76" s="51">
        <v>2184533</v>
      </c>
      <c r="C76" s="51">
        <v>2338123</v>
      </c>
      <c r="D76" s="51">
        <v>2302162</v>
      </c>
      <c r="E76" s="51">
        <v>2473896</v>
      </c>
      <c r="F76" s="51">
        <v>0</v>
      </c>
      <c r="G76" s="48">
        <v>2473896</v>
      </c>
      <c r="H76" s="51"/>
      <c r="I76" s="51">
        <v>0</v>
      </c>
      <c r="J76" s="51">
        <v>0</v>
      </c>
      <c r="K76" s="52">
        <f>G99</f>
        <v>2907507</v>
      </c>
    </row>
    <row r="77" spans="1:11" x14ac:dyDescent="0.25">
      <c r="B77" s="51"/>
      <c r="C77" s="51"/>
      <c r="D77" s="51"/>
      <c r="E77" s="51"/>
      <c r="F77" s="51"/>
      <c r="G77" s="51"/>
      <c r="H77" s="51"/>
    </row>
    <row r="78" spans="1:11" x14ac:dyDescent="0.25">
      <c r="A78" s="55" t="s">
        <v>3421</v>
      </c>
      <c r="B78" s="51">
        <f>('Golf Course Revenue'!C32+'Golf Course Revenue'!C45)-B83</f>
        <v>765993</v>
      </c>
      <c r="C78" s="51">
        <f>('Golf Course Revenue'!D32+'Golf Course Revenue'!D45)-C83</f>
        <v>519485</v>
      </c>
      <c r="D78" s="51">
        <f>('Golf Course Revenue'!E32+'Golf Course Revenue'!E45)-D83</f>
        <v>687871</v>
      </c>
      <c r="E78" s="51">
        <f>('Golf Course Revenue'!F32+'Golf Course Revenue'!F45)-E83</f>
        <v>622700</v>
      </c>
      <c r="F78" s="51">
        <f>('Golf Course Revenue'!G32+'Golf Course Revenue'!G45)-F83</f>
        <v>744160.94000000006</v>
      </c>
      <c r="G78" s="51">
        <f>('Golf Course Revenue'!H32+'Golf Course Revenue'!H45)-G83</f>
        <v>889935</v>
      </c>
      <c r="H78" s="51"/>
      <c r="I78" s="51">
        <f>('Golf Course Revenue'!J32+'Golf Course Revenue'!J45)-I83</f>
        <v>935403</v>
      </c>
      <c r="J78" s="51">
        <f>('Golf Course Revenue'!K32+'Golf Course Revenue'!K45)-J83</f>
        <v>0</v>
      </c>
      <c r="K78" s="51">
        <f>('Golf Course Revenue'!L32+'Golf Course Revenue'!L45)-K83</f>
        <v>935403</v>
      </c>
    </row>
    <row r="79" spans="1:11" x14ac:dyDescent="0.25">
      <c r="A79" s="55"/>
      <c r="B79" s="51"/>
      <c r="C79" s="51"/>
      <c r="D79" s="51"/>
      <c r="E79" s="51"/>
      <c r="F79" s="51"/>
      <c r="G79" s="51"/>
      <c r="H79" s="51"/>
    </row>
    <row r="80" spans="1:11" x14ac:dyDescent="0.25">
      <c r="A80" s="33" t="s">
        <v>3459</v>
      </c>
      <c r="B80" s="51">
        <f t="shared" ref="B80:G80" si="5">B78</f>
        <v>765993</v>
      </c>
      <c r="C80" s="51">
        <f t="shared" si="5"/>
        <v>519485</v>
      </c>
      <c r="D80" s="51">
        <f t="shared" si="5"/>
        <v>687871</v>
      </c>
      <c r="E80" s="51">
        <f t="shared" si="5"/>
        <v>622700</v>
      </c>
      <c r="F80" s="51">
        <f t="shared" si="5"/>
        <v>744160.94000000006</v>
      </c>
      <c r="G80" s="51">
        <f t="shared" si="5"/>
        <v>889935</v>
      </c>
      <c r="H80" s="51"/>
      <c r="I80" s="51">
        <f>I78</f>
        <v>935403</v>
      </c>
      <c r="J80" s="51">
        <f>J78</f>
        <v>0</v>
      </c>
      <c r="K80" s="51">
        <f>K78</f>
        <v>935403</v>
      </c>
    </row>
    <row r="81" spans="1:11" x14ac:dyDescent="0.25">
      <c r="A81" s="33" t="s">
        <v>3460</v>
      </c>
      <c r="B81" s="51">
        <v>0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/>
      <c r="I81" s="51">
        <v>0</v>
      </c>
      <c r="J81" s="51">
        <v>0</v>
      </c>
      <c r="K81" s="51">
        <f>I81+J81</f>
        <v>0</v>
      </c>
    </row>
    <row r="82" spans="1:11" x14ac:dyDescent="0.25">
      <c r="A82" s="55"/>
      <c r="B82" s="51"/>
      <c r="C82" s="51"/>
      <c r="D82" s="51"/>
      <c r="E82" s="51"/>
      <c r="F82" s="51"/>
      <c r="G82" s="51"/>
      <c r="H82" s="51"/>
    </row>
    <row r="83" spans="1:11" x14ac:dyDescent="0.25">
      <c r="A83" s="55" t="s">
        <v>3461</v>
      </c>
      <c r="B83" s="51">
        <f>'Golf Course Revenue'!C26</f>
        <v>438694</v>
      </c>
      <c r="C83" s="51">
        <f>'Golf Course Revenue'!D26</f>
        <v>800000</v>
      </c>
      <c r="D83" s="51">
        <f>'Golf Course Revenue'!E26</f>
        <v>800000</v>
      </c>
      <c r="E83" s="51">
        <f>'Golf Course Revenue'!F26</f>
        <v>970519</v>
      </c>
      <c r="F83" s="51">
        <f>'Golf Course Revenue'!G26</f>
        <v>0</v>
      </c>
      <c r="G83" s="51">
        <f>'Golf Course Revenue'!H26</f>
        <v>0</v>
      </c>
      <c r="H83" s="51"/>
      <c r="I83" s="51">
        <f>'Golf Course Revenue'!J26</f>
        <v>250000</v>
      </c>
      <c r="J83" s="51">
        <f>'Golf Course Revenue'!K26</f>
        <v>0</v>
      </c>
      <c r="K83" s="51">
        <f>'Golf Course Revenue'!L26</f>
        <v>250000</v>
      </c>
    </row>
    <row r="84" spans="1:11" x14ac:dyDescent="0.25">
      <c r="B84" s="51"/>
      <c r="C84" s="51"/>
      <c r="D84" s="51"/>
      <c r="E84" s="51"/>
      <c r="F84" s="51"/>
      <c r="G84" s="51"/>
      <c r="H84" s="51"/>
    </row>
    <row r="85" spans="1:11" x14ac:dyDescent="0.25">
      <c r="A85" s="55" t="s">
        <v>3423</v>
      </c>
      <c r="B85" s="51"/>
      <c r="C85" s="51"/>
      <c r="D85" s="51"/>
      <c r="E85" s="51"/>
      <c r="F85" s="51"/>
      <c r="G85" s="51"/>
      <c r="H85" s="51"/>
    </row>
    <row r="86" spans="1:11" x14ac:dyDescent="0.25">
      <c r="B86" s="51"/>
      <c r="C86" s="51"/>
      <c r="D86" s="51"/>
      <c r="E86" s="51"/>
      <c r="F86" s="51"/>
      <c r="G86" s="51"/>
      <c r="H86" s="51"/>
    </row>
    <row r="87" spans="1:11" x14ac:dyDescent="0.25">
      <c r="A87" s="33" t="s">
        <v>3462</v>
      </c>
      <c r="B87" s="51">
        <f>'LVGC ProShop'!C117</f>
        <v>415917</v>
      </c>
      <c r="C87" s="51">
        <f>'LVGC ProShop'!D117</f>
        <v>451209</v>
      </c>
      <c r="D87" s="51">
        <f>'LVGC ProShop'!E117</f>
        <v>588166</v>
      </c>
      <c r="E87" s="51">
        <f>('LVGC ProShop'!F117)-'LVGC ProShop'!F43</f>
        <v>259058</v>
      </c>
      <c r="F87" s="51">
        <f>('LVGC ProShop'!G117)-'LVGC ProShop'!G43</f>
        <v>213109.88000000006</v>
      </c>
      <c r="G87" s="51">
        <f>('LVGC ProShop'!H117)-'LVGC ProShop'!H43</f>
        <v>238321</v>
      </c>
      <c r="H87" s="51"/>
      <c r="I87" s="51">
        <f>('LVGC ProShop'!J117)-'LVGC ProShop'!J43</f>
        <v>243882.68899999995</v>
      </c>
      <c r="J87" s="51">
        <f>('LVGC ProShop'!K117)-'LVGC ProShop'!K43</f>
        <v>0</v>
      </c>
      <c r="K87" s="51">
        <f>('LVGC ProShop'!L117)-'LVGC ProShop'!L43</f>
        <v>243882.68899999995</v>
      </c>
    </row>
    <row r="88" spans="1:11" x14ac:dyDescent="0.25">
      <c r="A88" s="33" t="s">
        <v>3463</v>
      </c>
      <c r="B88" s="51">
        <f>'LVGC Maintenance'!C108</f>
        <v>405573</v>
      </c>
      <c r="C88" s="51">
        <f>'LVGC Maintenance'!D108</f>
        <v>677356</v>
      </c>
      <c r="D88" s="51">
        <f>'LVGC Maintenance'!E108</f>
        <v>631330</v>
      </c>
      <c r="E88" s="51">
        <f>('LVGC Maintenance'!F108)-'LVGC Maintenance'!F37</f>
        <v>367137</v>
      </c>
      <c r="F88" s="51">
        <f>('LVGC Maintenance'!G108)-'LVGC Maintenance'!G37</f>
        <v>190172.86</v>
      </c>
      <c r="G88" s="51">
        <f>('LVGC Maintenance'!H108)-'LVGC Maintenance'!H37</f>
        <v>218003</v>
      </c>
      <c r="H88" s="51"/>
      <c r="I88" s="51">
        <f>('LVGC Maintenance'!J108)-'LVGC Maintenance'!J37</f>
        <v>224818.12099999993</v>
      </c>
      <c r="J88" s="51">
        <f>('LVGC Maintenance'!K108)-'LVGC Maintenance'!K37</f>
        <v>75000</v>
      </c>
      <c r="K88" s="51">
        <f>('LVGC Maintenance'!L108)-'LVGC Maintenance'!L37</f>
        <v>299818.12099999993</v>
      </c>
    </row>
    <row r="89" spans="1:11" x14ac:dyDescent="0.25">
      <c r="A89" s="33" t="s">
        <v>3464</v>
      </c>
      <c r="B89" s="57">
        <v>0</v>
      </c>
      <c r="C89" s="57">
        <v>0</v>
      </c>
      <c r="D89" s="57">
        <v>0</v>
      </c>
      <c r="E89" s="57">
        <v>0</v>
      </c>
      <c r="F89" s="57">
        <v>0</v>
      </c>
      <c r="G89" s="58">
        <v>0</v>
      </c>
      <c r="H89" s="51"/>
      <c r="I89" s="51">
        <v>0</v>
      </c>
      <c r="J89" s="51">
        <v>0</v>
      </c>
      <c r="K89" s="52">
        <f>I89+J89</f>
        <v>0</v>
      </c>
    </row>
    <row r="90" spans="1:11" x14ac:dyDescent="0.25">
      <c r="A90" s="33" t="s">
        <v>3465</v>
      </c>
      <c r="B90" s="51">
        <v>0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/>
      <c r="I90" s="51">
        <v>0</v>
      </c>
      <c r="J90" s="51">
        <v>0</v>
      </c>
      <c r="K90" s="52">
        <f>I90+J90</f>
        <v>0</v>
      </c>
    </row>
    <row r="91" spans="1:11" x14ac:dyDescent="0.25">
      <c r="A91" s="33" t="s">
        <v>3466</v>
      </c>
      <c r="B91" s="51">
        <v>0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/>
      <c r="I91" s="51">
        <v>0</v>
      </c>
      <c r="J91" s="51">
        <v>0</v>
      </c>
      <c r="K91" s="52">
        <f>I91+J91</f>
        <v>0</v>
      </c>
    </row>
    <row r="92" spans="1:11" x14ac:dyDescent="0.25">
      <c r="B92" s="51"/>
      <c r="C92" s="51"/>
      <c r="D92" s="51"/>
      <c r="E92" s="51"/>
      <c r="F92" s="51"/>
      <c r="G92" s="51"/>
      <c r="H92" s="51"/>
    </row>
    <row r="93" spans="1:11" x14ac:dyDescent="0.25">
      <c r="A93" s="33" t="s">
        <v>3467</v>
      </c>
      <c r="B93" s="51">
        <f t="shared" ref="B93:G93" si="6">SUM(B87:B92)</f>
        <v>821490</v>
      </c>
      <c r="C93" s="51">
        <f t="shared" si="6"/>
        <v>1128565</v>
      </c>
      <c r="D93" s="51">
        <f t="shared" si="6"/>
        <v>1219496</v>
      </c>
      <c r="E93" s="51">
        <f t="shared" si="6"/>
        <v>626195</v>
      </c>
      <c r="F93" s="51">
        <f t="shared" si="6"/>
        <v>403282.74000000005</v>
      </c>
      <c r="G93" s="51">
        <f t="shared" si="6"/>
        <v>456324</v>
      </c>
      <c r="H93" s="51"/>
      <c r="I93" s="51">
        <f>SUM(I87:I92)</f>
        <v>468700.80999999988</v>
      </c>
      <c r="J93" s="51">
        <f>SUM(J87:J92)</f>
        <v>75000</v>
      </c>
      <c r="K93" s="51">
        <f>SUM(K87:K92)</f>
        <v>543700.80999999982</v>
      </c>
    </row>
    <row r="94" spans="1:11" x14ac:dyDescent="0.25">
      <c r="B94" s="51"/>
      <c r="C94" s="51"/>
      <c r="D94" s="51"/>
      <c r="E94" s="51"/>
      <c r="F94" s="51"/>
      <c r="G94" s="51"/>
      <c r="H94" s="51"/>
    </row>
    <row r="95" spans="1:11" x14ac:dyDescent="0.25">
      <c r="A95" s="33" t="s">
        <v>3452</v>
      </c>
      <c r="B95" s="51">
        <f t="shared" ref="B95:G95" si="7">+B78+B83+B81-B93</f>
        <v>383197</v>
      </c>
      <c r="C95" s="51">
        <f t="shared" si="7"/>
        <v>190920</v>
      </c>
      <c r="D95" s="51">
        <f t="shared" si="7"/>
        <v>268375</v>
      </c>
      <c r="E95" s="51">
        <f t="shared" si="7"/>
        <v>967024</v>
      </c>
      <c r="F95" s="51">
        <f t="shared" si="7"/>
        <v>340878.2</v>
      </c>
      <c r="G95" s="51">
        <f t="shared" si="7"/>
        <v>433611</v>
      </c>
      <c r="H95" s="51"/>
      <c r="I95" s="51">
        <f>+I78+I83+I81-I93</f>
        <v>716702.19000000018</v>
      </c>
      <c r="J95" s="51">
        <f>+J78+J83+J81-J93</f>
        <v>-75000</v>
      </c>
      <c r="K95" s="51">
        <f>+K78+K83+K81-K93</f>
        <v>641702.19000000018</v>
      </c>
    </row>
    <row r="96" spans="1:11" x14ac:dyDescent="0.25">
      <c r="B96" s="51"/>
      <c r="C96" s="51"/>
      <c r="D96" s="51"/>
      <c r="E96" s="51"/>
      <c r="F96" s="51"/>
      <c r="G96" s="58"/>
      <c r="H96" s="51"/>
      <c r="I96" s="51"/>
      <c r="J96" s="51"/>
    </row>
    <row r="97" spans="1:11" x14ac:dyDescent="0.25">
      <c r="A97" s="55" t="s">
        <v>3453</v>
      </c>
      <c r="B97" s="51">
        <v>-229607</v>
      </c>
      <c r="C97" s="51">
        <v>-226881</v>
      </c>
      <c r="D97" s="51">
        <v>-96641</v>
      </c>
      <c r="E97" s="51">
        <v>0</v>
      </c>
      <c r="F97" s="51">
        <v>0</v>
      </c>
      <c r="G97" s="51"/>
      <c r="H97" s="51"/>
      <c r="I97" s="51">
        <v>0</v>
      </c>
      <c r="J97" s="51">
        <v>0</v>
      </c>
      <c r="K97" s="52">
        <f>I97+J97</f>
        <v>0</v>
      </c>
    </row>
    <row r="98" spans="1:11" x14ac:dyDescent="0.25">
      <c r="B98" s="51"/>
      <c r="C98" s="51"/>
      <c r="D98" s="51"/>
      <c r="E98" s="51"/>
      <c r="F98" s="51"/>
      <c r="G98" s="51"/>
      <c r="H98" s="51"/>
    </row>
    <row r="99" spans="1:11" x14ac:dyDescent="0.25">
      <c r="A99" s="33" t="s">
        <v>3454</v>
      </c>
      <c r="B99" s="51">
        <f t="shared" ref="B99:G99" si="8">+B76+B78-B93+B83+B97+B81</f>
        <v>2338123</v>
      </c>
      <c r="C99" s="51">
        <f t="shared" si="8"/>
        <v>2302162</v>
      </c>
      <c r="D99" s="51">
        <f t="shared" si="8"/>
        <v>2473896</v>
      </c>
      <c r="E99" s="51">
        <f t="shared" si="8"/>
        <v>3440920</v>
      </c>
      <c r="F99" s="51">
        <f t="shared" si="8"/>
        <v>340878.2</v>
      </c>
      <c r="G99" s="51">
        <f t="shared" si="8"/>
        <v>2907507</v>
      </c>
      <c r="H99" s="51"/>
      <c r="I99" s="51">
        <f>+I76+I78-I93+I83+I97+I81</f>
        <v>716702.19000000018</v>
      </c>
      <c r="J99" s="51">
        <f>+J76+J78-J93+J83+J97+J81</f>
        <v>-75000</v>
      </c>
      <c r="K99" s="51">
        <f>+K76+K78-K93+K83+K97+K81</f>
        <v>3549209.1900000004</v>
      </c>
    </row>
    <row r="100" spans="1:11" x14ac:dyDescent="0.25">
      <c r="B100" s="51"/>
      <c r="C100" s="51"/>
      <c r="D100" s="51"/>
      <c r="E100" s="51"/>
      <c r="F100" s="51"/>
      <c r="G100" s="51"/>
      <c r="H100" s="51"/>
    </row>
    <row r="101" spans="1:11" x14ac:dyDescent="0.25">
      <c r="B101" s="51"/>
      <c r="C101" s="51"/>
      <c r="D101" s="51"/>
      <c r="E101" s="51"/>
      <c r="F101" s="51"/>
      <c r="G101" s="51"/>
      <c r="H101" s="51"/>
    </row>
    <row r="102" spans="1:11" x14ac:dyDescent="0.25">
      <c r="A102" s="49" t="s">
        <v>3468</v>
      </c>
      <c r="B102" s="51"/>
      <c r="C102" s="51"/>
      <c r="D102" s="51"/>
      <c r="E102" s="51"/>
      <c r="F102" s="51"/>
      <c r="G102" s="51"/>
      <c r="H102" s="51"/>
    </row>
    <row r="103" spans="1:11" x14ac:dyDescent="0.25">
      <c r="A103" s="49"/>
      <c r="B103" s="51"/>
      <c r="C103" s="51"/>
      <c r="D103" s="51"/>
      <c r="E103" s="51"/>
      <c r="F103" s="51"/>
      <c r="G103" s="51"/>
      <c r="H103" s="51"/>
    </row>
    <row r="104" spans="1:11" x14ac:dyDescent="0.25">
      <c r="A104" s="39" t="s">
        <v>3420</v>
      </c>
      <c r="B104" s="51">
        <v>4979864</v>
      </c>
      <c r="C104" s="51">
        <v>13669661</v>
      </c>
      <c r="D104" s="51">
        <v>14520084</v>
      </c>
      <c r="E104" s="51">
        <v>15882057</v>
      </c>
      <c r="F104" s="51">
        <v>0</v>
      </c>
      <c r="G104" s="51">
        <v>15882057</v>
      </c>
      <c r="H104" s="51"/>
      <c r="I104" s="51">
        <v>0</v>
      </c>
      <c r="J104" s="51">
        <v>0</v>
      </c>
      <c r="K104" s="52">
        <f>G138</f>
        <v>13136539.57</v>
      </c>
    </row>
    <row r="105" spans="1:11" x14ac:dyDescent="0.25">
      <c r="A105" s="39"/>
      <c r="B105" s="48"/>
      <c r="C105" s="48"/>
      <c r="D105" s="48"/>
      <c r="E105" s="48"/>
      <c r="F105" s="48"/>
      <c r="G105" s="48"/>
      <c r="H105" s="48"/>
    </row>
    <row r="106" spans="1:11" x14ac:dyDescent="0.25">
      <c r="A106" s="55" t="s">
        <v>3421</v>
      </c>
      <c r="B106" s="51">
        <f>'Utility Fund Revenue'!C96</f>
        <v>12993216</v>
      </c>
      <c r="C106" s="51">
        <f>'Utility Fund Revenue'!D96</f>
        <v>10707689</v>
      </c>
      <c r="D106" s="51">
        <f>'Utility Fund Revenue'!E96</f>
        <v>10653770</v>
      </c>
      <c r="E106" s="51">
        <f>'Utility Fund Revenue'!F96</f>
        <v>12628624</v>
      </c>
      <c r="F106" s="51">
        <f>'Utility Fund Revenue'!G96</f>
        <v>8507540.0399999991</v>
      </c>
      <c r="G106" s="51">
        <f>'Utility Fund Revenue'!H96</f>
        <v>9912552</v>
      </c>
      <c r="H106" s="51"/>
      <c r="I106" s="51">
        <f>'Utility Fund Revenue'!J96-'Utility Fund Revenue'!J92-'Utility Fund Revenue'!J34</f>
        <v>10338925</v>
      </c>
      <c r="J106" s="51">
        <f>'Utility Fund Revenue'!K96</f>
        <v>0</v>
      </c>
      <c r="K106" s="51">
        <f>'Utility Fund Revenue'!L96</f>
        <v>15708925</v>
      </c>
    </row>
    <row r="107" spans="1:11" x14ac:dyDescent="0.25">
      <c r="A107" s="39"/>
      <c r="B107" s="51"/>
      <c r="C107" s="51"/>
      <c r="D107" s="51"/>
      <c r="E107" s="51"/>
      <c r="F107" s="51"/>
      <c r="G107" s="58"/>
      <c r="H107" s="51"/>
    </row>
    <row r="108" spans="1:11" x14ac:dyDescent="0.25">
      <c r="A108" s="55" t="s">
        <v>3423</v>
      </c>
      <c r="B108" s="51"/>
      <c r="C108" s="51"/>
      <c r="D108" s="51"/>
      <c r="E108" s="51"/>
      <c r="F108" s="51"/>
      <c r="G108" s="51"/>
      <c r="H108" s="51"/>
    </row>
    <row r="109" spans="1:11" x14ac:dyDescent="0.25">
      <c r="B109" s="51"/>
      <c r="C109" s="51"/>
      <c r="D109" s="51"/>
      <c r="E109" s="51"/>
      <c r="F109" s="51"/>
      <c r="G109" s="51"/>
      <c r="H109" s="51"/>
    </row>
    <row r="110" spans="1:11" x14ac:dyDescent="0.25">
      <c r="A110" s="33" t="s">
        <v>3469</v>
      </c>
      <c r="B110" s="51">
        <f>'Utility Admin'!C104</f>
        <v>227773</v>
      </c>
      <c r="C110" s="51">
        <f>'Utility Admin'!D104</f>
        <v>510380</v>
      </c>
      <c r="D110" s="51">
        <f>'Utility Admin'!E104</f>
        <v>384445</v>
      </c>
      <c r="E110" s="51">
        <f>('Utility Admin'!F104)-'Utility Admin'!F37</f>
        <v>271560</v>
      </c>
      <c r="F110" s="51">
        <f>('Utility Admin'!G104)-'Utility Admin'!G37</f>
        <v>158028.45000000001</v>
      </c>
      <c r="G110" s="51">
        <f>('Utility Admin'!H104)-'Utility Admin'!H37</f>
        <v>256890</v>
      </c>
      <c r="H110" s="51"/>
      <c r="I110" s="51">
        <f>('Utility Admin'!J104)-'Utility Admin'!J37</f>
        <v>278200</v>
      </c>
      <c r="J110" s="51">
        <f>'Utility Admin'!K104</f>
        <v>0</v>
      </c>
      <c r="K110" s="51">
        <f>('Utility Admin'!L104)-'Utility Admin'!L37</f>
        <v>278200</v>
      </c>
    </row>
    <row r="111" spans="1:11" x14ac:dyDescent="0.25">
      <c r="A111" s="33" t="s">
        <v>3470</v>
      </c>
      <c r="B111" s="51">
        <f>'General Fund Transfer'!C12</f>
        <v>1600000</v>
      </c>
      <c r="C111" s="51">
        <f>'General Fund Transfer'!D12</f>
        <v>2059643</v>
      </c>
      <c r="D111" s="51">
        <f>'General Fund Transfer'!E12</f>
        <v>2059643</v>
      </c>
      <c r="E111" s="51">
        <f>'General Fund Transfer'!F12</f>
        <v>3643573</v>
      </c>
      <c r="F111" s="51">
        <f>'General Fund Transfer'!G12</f>
        <v>1544732.28</v>
      </c>
      <c r="G111" s="51">
        <f>'General Fund Transfer'!H12</f>
        <v>3643573</v>
      </c>
      <c r="H111" s="51"/>
      <c r="I111" s="51">
        <f>'General Fund Transfer'!J12</f>
        <v>3643573</v>
      </c>
      <c r="J111" s="51">
        <f>'General Fund Transfer'!K12</f>
        <v>0</v>
      </c>
      <c r="K111" s="51">
        <f>'General Fund Transfer'!L12</f>
        <v>3643573</v>
      </c>
    </row>
    <row r="112" spans="1:11" x14ac:dyDescent="0.25">
      <c r="A112" s="33" t="s">
        <v>3471</v>
      </c>
      <c r="B112" s="51">
        <v>0</v>
      </c>
      <c r="C112" s="51">
        <v>0</v>
      </c>
      <c r="D112" s="51">
        <v>0</v>
      </c>
      <c r="E112" s="51">
        <v>0</v>
      </c>
      <c r="F112" s="51">
        <v>0</v>
      </c>
      <c r="G112" s="56">
        <v>0</v>
      </c>
      <c r="H112" s="51"/>
      <c r="I112" s="51">
        <v>0</v>
      </c>
      <c r="J112" s="51">
        <v>0</v>
      </c>
      <c r="K112" s="52">
        <f>I112+J112</f>
        <v>0</v>
      </c>
    </row>
    <row r="113" spans="1:11" x14ac:dyDescent="0.25">
      <c r="A113" s="33" t="s">
        <v>3472</v>
      </c>
      <c r="B113" s="51">
        <f>'Utility Fund IT'!C89</f>
        <v>498181</v>
      </c>
      <c r="C113" s="51">
        <f>'Utility Fund IT'!D89</f>
        <v>48119</v>
      </c>
      <c r="D113" s="51">
        <f>'Utility Fund IT'!E89</f>
        <v>39341</v>
      </c>
      <c r="E113" s="51">
        <f>'Utility Fund IT'!F89</f>
        <v>83883</v>
      </c>
      <c r="F113" s="51">
        <f>'Utility Fund IT'!G89</f>
        <v>53134.479999999996</v>
      </c>
      <c r="G113" s="51">
        <f>'Utility Fund IT'!H89</f>
        <v>61248.05</v>
      </c>
      <c r="H113" s="51"/>
      <c r="I113" s="51">
        <f>'Utility Fund IT'!J89</f>
        <v>65292.854999999996</v>
      </c>
      <c r="J113" s="51">
        <f>'Utility Fund IT'!K89</f>
        <v>0</v>
      </c>
      <c r="K113" s="51">
        <f>'Utility Fund IT'!L89</f>
        <v>65292.854999999996</v>
      </c>
    </row>
    <row r="114" spans="1:11" x14ac:dyDescent="0.25">
      <c r="A114" s="33" t="s">
        <v>3473</v>
      </c>
      <c r="B114" s="51">
        <f>'Public Works Admin'!C104</f>
        <v>419313</v>
      </c>
      <c r="C114" s="51">
        <f>'Public Works Admin'!D104</f>
        <v>345251</v>
      </c>
      <c r="D114" s="51">
        <f>'Public Works Admin'!E104</f>
        <v>951780</v>
      </c>
      <c r="E114" s="51">
        <f>('Public Works Admin'!F104)-'Public Works Admin'!F39</f>
        <v>752874</v>
      </c>
      <c r="F114" s="51">
        <f>('Public Works Admin'!G104)-'Public Works Admin'!G39</f>
        <v>469214.99</v>
      </c>
      <c r="G114" s="51">
        <f>('Public Works Admin'!H104)-'Public Works Admin'!H39</f>
        <v>486364.03</v>
      </c>
      <c r="H114" s="51"/>
      <c r="I114" s="51">
        <f>('Public Works Admin'!J104)-'Public Works Admin'!J39</f>
        <v>392457.83299999998</v>
      </c>
      <c r="J114" s="51">
        <f>('Public Works Admin'!K104)-'Public Works Admin'!K39</f>
        <v>0</v>
      </c>
      <c r="K114" s="51">
        <f>('Public Works Admin'!L104)-'Public Works Admin'!L39</f>
        <v>392457.83299999998</v>
      </c>
    </row>
    <row r="115" spans="1:11" x14ac:dyDescent="0.25">
      <c r="A115" s="33" t="s">
        <v>3474</v>
      </c>
      <c r="B115" s="51">
        <f>'Water Services'!C114</f>
        <v>1892876</v>
      </c>
      <c r="C115" s="51">
        <f>'Water Services'!D114</f>
        <v>1303099</v>
      </c>
      <c r="D115" s="51">
        <f>'Water Services'!E114</f>
        <v>1876300</v>
      </c>
      <c r="E115" s="51">
        <f>('Water Services'!F114)-'Water Services'!F37</f>
        <v>1029033</v>
      </c>
      <c r="F115" s="51">
        <f>('Water Services'!G114)-'Water Services'!G37</f>
        <v>583984.01000000013</v>
      </c>
      <c r="G115" s="51">
        <f>('Water Services'!H114)-'Water Services'!H37</f>
        <v>641459</v>
      </c>
      <c r="H115" s="51"/>
      <c r="I115" s="51">
        <f>('Water Services'!J114)-'Water Services'!J37</f>
        <v>669522.90700000001</v>
      </c>
      <c r="J115" s="51">
        <f>('Water Services'!K114)-'Water Services'!K37</f>
        <v>43900</v>
      </c>
      <c r="K115" s="51">
        <f>('Water Services'!L114)-'Water Services'!L37</f>
        <v>713422.90700000001</v>
      </c>
    </row>
    <row r="116" spans="1:11" x14ac:dyDescent="0.25">
      <c r="A116" s="33" t="s">
        <v>3475</v>
      </c>
      <c r="B116" s="51">
        <f>'Water Plant 1'!C98</f>
        <v>449355</v>
      </c>
      <c r="C116" s="51">
        <f>'Water Plant 1'!D98</f>
        <v>363437</v>
      </c>
      <c r="D116" s="51">
        <f>'Water Plant 1'!E98</f>
        <v>376516</v>
      </c>
      <c r="E116" s="51">
        <f>('Water Plant 1'!F98)-'Water Plant 1'!F35</f>
        <v>533867</v>
      </c>
      <c r="F116" s="51">
        <f>('Water Plant 1'!G98)-'Water Plant 1'!G35</f>
        <v>1161736.42</v>
      </c>
      <c r="G116" s="51">
        <f>('Water Plant 1'!H98)-'Water Plant 1'!H35</f>
        <v>1216913</v>
      </c>
      <c r="H116" s="51"/>
      <c r="I116" s="51">
        <f>('Water Plant 1'!J98)-'Water Plant 1'!J35</f>
        <v>707906.80900000001</v>
      </c>
      <c r="J116" s="51">
        <f>('Water Plant 1'!K98)-'Water Plant 1'!K35</f>
        <v>0</v>
      </c>
      <c r="K116" s="51">
        <f>('Water Plant 1'!L98)-'Water Plant 1'!L35</f>
        <v>707906.80900000001</v>
      </c>
    </row>
    <row r="117" spans="1:11" hidden="1" x14ac:dyDescent="0.25">
      <c r="A117" s="33" t="s">
        <v>3476</v>
      </c>
      <c r="B117" s="51">
        <v>0</v>
      </c>
      <c r="C117" s="51">
        <v>0</v>
      </c>
      <c r="D117" s="51">
        <v>0</v>
      </c>
      <c r="E117" s="51">
        <v>0</v>
      </c>
      <c r="F117" s="51">
        <v>0</v>
      </c>
      <c r="G117" s="56"/>
      <c r="H117" s="51"/>
      <c r="I117" s="51">
        <v>0</v>
      </c>
      <c r="J117" s="51">
        <v>0</v>
      </c>
    </row>
    <row r="118" spans="1:11" x14ac:dyDescent="0.25">
      <c r="A118" s="33" t="s">
        <v>3477</v>
      </c>
      <c r="B118" s="51">
        <f>'Water Plant 3'!C97</f>
        <v>450176</v>
      </c>
      <c r="C118" s="51">
        <f>'Water Plant 3'!D97</f>
        <v>492229</v>
      </c>
      <c r="D118" s="51">
        <f>'Water Plant 3'!E97</f>
        <v>1129256</v>
      </c>
      <c r="E118" s="65">
        <f>('Water Plant 3'!F97)-('Water Plant 3'!F34+'Water Plant 3'!F89)</f>
        <v>703328</v>
      </c>
      <c r="F118" s="65">
        <f>('Water Plant 3'!G97)-('Water Plant 3'!G34+'Water Plant 3'!G89)</f>
        <v>454219.02999999997</v>
      </c>
      <c r="G118" s="65">
        <f>('Water Plant 3'!H97)-('Water Plant 3'!H34+'Water Plant 3'!H89)</f>
        <v>511714.35</v>
      </c>
      <c r="H118" s="65"/>
      <c r="I118" s="65">
        <f>('Water Plant 3'!J97)-('Water Plant 3'!J34+'Water Plant 3'!J89)</f>
        <v>660373.38500000024</v>
      </c>
      <c r="J118" s="65">
        <f>('Water Plant 3'!K97)-('Water Plant 3'!K34+'Water Plant 3'!K89)</f>
        <v>300000</v>
      </c>
      <c r="K118" s="65">
        <f>('Water Plant 3'!L97)-('Water Plant 3'!L34+'Water Plant 3'!L89)</f>
        <v>960373.38500000024</v>
      </c>
    </row>
    <row r="119" spans="1:11" x14ac:dyDescent="0.25">
      <c r="A119" s="33" t="s">
        <v>3478</v>
      </c>
      <c r="B119" s="51">
        <f>'Sewer Services'!C105</f>
        <v>1040016</v>
      </c>
      <c r="C119" s="51">
        <f>'Sewer Services'!D105</f>
        <v>645934</v>
      </c>
      <c r="D119" s="51">
        <f>'Sewer Services'!E105</f>
        <v>817598</v>
      </c>
      <c r="E119" s="51">
        <f>('Sewer Services'!F105)-'Sewer Services'!F36</f>
        <v>763651</v>
      </c>
      <c r="F119" s="51">
        <f>('Sewer Services'!G105)-'Sewer Services'!G36</f>
        <v>305115.56999999995</v>
      </c>
      <c r="G119" s="51">
        <f>('Sewer Services'!H105)-'Sewer Services'!H36</f>
        <v>335763</v>
      </c>
      <c r="H119" s="51"/>
      <c r="I119" s="51">
        <f>('Sewer Services'!J105)-'Sewer Services'!J36</f>
        <v>492836.13900000008</v>
      </c>
      <c r="J119" s="51">
        <f>('Sewer Services'!K105)-'Sewer Services'!K36</f>
        <v>619600</v>
      </c>
      <c r="K119" s="51">
        <f>('Sewer Services'!L105)-'Sewer Services'!L36</f>
        <v>1112436.139</v>
      </c>
    </row>
    <row r="120" spans="1:11" x14ac:dyDescent="0.25">
      <c r="A120" s="33" t="s">
        <v>3479</v>
      </c>
      <c r="B120" s="51">
        <f>'Wastewater Treatment Plant'!C96</f>
        <v>422001</v>
      </c>
      <c r="C120" s="51">
        <f>'Wastewater Treatment Plant'!D96</f>
        <v>491751</v>
      </c>
      <c r="D120" s="51">
        <f>'Wastewater Treatment Plant'!E96</f>
        <v>540677</v>
      </c>
      <c r="E120" s="65">
        <f>('Wastewater Treatment Plant'!F96)-('Wastewater Treatment Plant'!F35+'Wastewater Treatment Plant'!F88)</f>
        <v>472007</v>
      </c>
      <c r="F120" s="65">
        <f>('Wastewater Treatment Plant'!G96)-('Wastewater Treatment Plant'!G35+'Wastewater Treatment Plant'!G88)</f>
        <v>664779.58000000007</v>
      </c>
      <c r="G120" s="65">
        <f>('Wastewater Treatment Plant'!H96)-('Wastewater Treatment Plant'!H35+'Wastewater Treatment Plant'!H88)</f>
        <v>705392</v>
      </c>
      <c r="H120" s="65"/>
      <c r="I120" s="65">
        <f>('Wastewater Treatment Plant'!J96)-('Wastewater Treatment Plant'!J35+'Wastewater Treatment Plant'!J88)</f>
        <v>614318.96799999988</v>
      </c>
      <c r="J120" s="65">
        <f>('Wastewater Treatment Plant'!K96)-('Wastewater Treatment Plant'!K35+'Wastewater Treatment Plant'!K88)</f>
        <v>300000</v>
      </c>
      <c r="K120" s="65">
        <f>('Wastewater Treatment Plant'!L96)-('Wastewater Treatment Plant'!L35+'Wastewater Treatment Plant'!L88)</f>
        <v>914318.96799999988</v>
      </c>
    </row>
    <row r="121" spans="1:11" x14ac:dyDescent="0.25">
      <c r="A121" s="33" t="s">
        <v>3480</v>
      </c>
      <c r="B121" s="51">
        <f>'Effluent Disposal'!C97</f>
        <v>279844</v>
      </c>
      <c r="C121" s="51">
        <f>'Effluent Disposal'!D97</f>
        <v>253946</v>
      </c>
      <c r="D121" s="51">
        <f>'Effluent Disposal'!E97</f>
        <v>522873</v>
      </c>
      <c r="E121" s="65">
        <f>('Effluent Disposal'!F97)-('Effluent Disposal'!F36+'Effluent Disposal'!F89)</f>
        <v>224536</v>
      </c>
      <c r="F121" s="65">
        <f>('Effluent Disposal'!G97)-'Effluent Disposal'!G36</f>
        <v>4593404.8499999996</v>
      </c>
      <c r="G121" s="65">
        <f>('Effluent Disposal'!H97)-'Effluent Disposal'!H36</f>
        <v>4607197</v>
      </c>
      <c r="H121" s="65"/>
      <c r="I121" s="65">
        <f>('Effluent Disposal'!J97)-'Effluent Disposal'!J36</f>
        <v>4391632.1610000003</v>
      </c>
      <c r="J121" s="65">
        <f>('Effluent Disposal'!K97)-'Effluent Disposal'!K36</f>
        <v>0</v>
      </c>
      <c r="K121" s="65">
        <f>('Effluent Disposal'!L97)-'Effluent Disposal'!L36</f>
        <v>4391632.1610000003</v>
      </c>
    </row>
    <row r="122" spans="1:11" hidden="1" x14ac:dyDescent="0.25">
      <c r="A122" s="33" t="s">
        <v>3481</v>
      </c>
      <c r="B122" s="51">
        <v>0</v>
      </c>
      <c r="C122" s="51">
        <v>0</v>
      </c>
      <c r="D122" s="51">
        <v>0</v>
      </c>
      <c r="E122" s="65">
        <v>0</v>
      </c>
      <c r="F122" s="65">
        <v>0</v>
      </c>
      <c r="G122" s="66"/>
      <c r="H122" s="65"/>
      <c r="I122" s="65">
        <v>0</v>
      </c>
      <c r="J122" s="65">
        <v>0</v>
      </c>
      <c r="K122" s="67"/>
    </row>
    <row r="123" spans="1:11" hidden="1" x14ac:dyDescent="0.25">
      <c r="A123" s="33" t="s">
        <v>3482</v>
      </c>
      <c r="B123" s="51">
        <v>0</v>
      </c>
      <c r="C123" s="51">
        <v>0</v>
      </c>
      <c r="D123" s="51">
        <v>0</v>
      </c>
      <c r="E123" s="65">
        <v>0</v>
      </c>
      <c r="F123" s="65">
        <v>0</v>
      </c>
      <c r="G123" s="66"/>
      <c r="H123" s="65"/>
      <c r="I123" s="65">
        <v>0</v>
      </c>
      <c r="J123" s="65">
        <v>0</v>
      </c>
      <c r="K123" s="67"/>
    </row>
    <row r="124" spans="1:11" x14ac:dyDescent="0.25">
      <c r="A124" s="33" t="s">
        <v>3483</v>
      </c>
      <c r="B124" s="51">
        <f>'Booster Pumps'!C92</f>
        <v>109703</v>
      </c>
      <c r="C124" s="51">
        <f>'Booster Pumps'!D92</f>
        <v>74156</v>
      </c>
      <c r="D124" s="51">
        <f>'Booster Pumps'!E92</f>
        <v>99386</v>
      </c>
      <c r="E124" s="65">
        <f>('Booster Pumps'!F92)-'Booster Pumps'!F34</f>
        <v>173766</v>
      </c>
      <c r="F124" s="65">
        <f>('Booster Pumps'!G92)-'Booster Pumps'!G34</f>
        <v>52446.250000000007</v>
      </c>
      <c r="G124" s="65">
        <f>('Booster Pumps'!H92)-'Booster Pumps'!H34</f>
        <v>65163</v>
      </c>
      <c r="H124" s="65"/>
      <c r="I124" s="65">
        <f>('Booster Pumps'!J92)-'Booster Pumps'!J34</f>
        <v>371595.32500000001</v>
      </c>
      <c r="J124" s="65">
        <f>('Booster Pumps'!K92)-'Booster Pumps'!K34</f>
        <v>0</v>
      </c>
      <c r="K124" s="65">
        <f>('Booster Pumps'!L92)-'Booster Pumps'!L34</f>
        <v>221595.32500000001</v>
      </c>
    </row>
    <row r="125" spans="1:11" x14ac:dyDescent="0.25">
      <c r="A125" s="33" t="s">
        <v>3484</v>
      </c>
      <c r="B125" s="51">
        <f>'Lift Stations'!C89</f>
        <v>317491</v>
      </c>
      <c r="C125" s="51">
        <f>'Lift Stations'!D89</f>
        <v>238132</v>
      </c>
      <c r="D125" s="51">
        <f>'Lift Stations'!E89</f>
        <v>467540</v>
      </c>
      <c r="E125" s="65">
        <f>('Lift Stations'!F89)-('Lift Stations'!F34+'Lift Stations'!F79)</f>
        <v>242541</v>
      </c>
      <c r="F125" s="65">
        <f>('Lift Stations'!G89)-('Lift Stations'!G34+'Lift Stations'!G79)</f>
        <v>118446.40000000002</v>
      </c>
      <c r="G125" s="65">
        <f>('Lift Stations'!H89)-('Lift Stations'!H34+'Lift Stations'!H79)</f>
        <v>126393</v>
      </c>
      <c r="H125" s="65"/>
      <c r="I125" s="65">
        <f>('Lift Stations'!J89)-('Lift Stations'!J34+'Lift Stations'!J79)</f>
        <v>281559.06299999997</v>
      </c>
      <c r="J125" s="65">
        <f>('Lift Stations'!K89)-('Lift Stations'!K34+'Lift Stations'!K79)</f>
        <v>0</v>
      </c>
      <c r="K125" s="65">
        <f>('Lift Stations'!L89)-('Lift Stations'!L34+'Lift Stations'!L79)</f>
        <v>281559.06299999997</v>
      </c>
    </row>
    <row r="126" spans="1:11" hidden="1" x14ac:dyDescent="0.25">
      <c r="A126" s="33" t="s">
        <v>3485</v>
      </c>
      <c r="B126" s="51">
        <v>0</v>
      </c>
      <c r="C126" s="51">
        <v>0</v>
      </c>
      <c r="D126" s="51">
        <v>0</v>
      </c>
      <c r="E126" s="51">
        <v>0</v>
      </c>
      <c r="F126" s="51">
        <v>0</v>
      </c>
      <c r="G126" s="51"/>
      <c r="H126" s="51"/>
      <c r="I126" s="51">
        <v>0</v>
      </c>
      <c r="J126" s="51">
        <v>0</v>
      </c>
    </row>
    <row r="127" spans="1:11" x14ac:dyDescent="0.25">
      <c r="A127" s="33" t="s">
        <v>3446</v>
      </c>
      <c r="B127" s="51">
        <v>0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/>
      <c r="I127" s="51">
        <v>0</v>
      </c>
      <c r="J127" s="51">
        <v>0</v>
      </c>
      <c r="K127" s="52">
        <f>I127+J127</f>
        <v>0</v>
      </c>
    </row>
    <row r="128" spans="1:11" x14ac:dyDescent="0.25">
      <c r="A128" s="33" t="s">
        <v>3486</v>
      </c>
      <c r="B128" s="51">
        <v>0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/>
      <c r="I128" s="51">
        <v>0</v>
      </c>
      <c r="J128" s="51">
        <v>0</v>
      </c>
      <c r="K128" s="52">
        <f>I128+J128</f>
        <v>0</v>
      </c>
    </row>
    <row r="129" spans="1:11" x14ac:dyDescent="0.25">
      <c r="A129" s="33" t="s">
        <v>3449</v>
      </c>
      <c r="B129" s="51">
        <v>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/>
      <c r="I129" s="51">
        <v>0</v>
      </c>
      <c r="J129" s="51">
        <v>0</v>
      </c>
      <c r="K129" s="52">
        <f>I129+J129</f>
        <v>0</v>
      </c>
    </row>
    <row r="130" spans="1:11" x14ac:dyDescent="0.25">
      <c r="A130" s="33" t="s">
        <v>3487</v>
      </c>
      <c r="B130" s="51">
        <v>0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/>
      <c r="I130" s="51">
        <v>0</v>
      </c>
      <c r="J130" s="51">
        <v>0</v>
      </c>
      <c r="K130" s="52">
        <f>I130+J130</f>
        <v>0</v>
      </c>
    </row>
    <row r="131" spans="1:11" x14ac:dyDescent="0.25">
      <c r="B131" s="51"/>
      <c r="C131" s="51"/>
      <c r="D131" s="51"/>
      <c r="E131" s="51"/>
      <c r="F131" s="51"/>
      <c r="G131" s="51"/>
      <c r="H131" s="51"/>
    </row>
    <row r="132" spans="1:11" x14ac:dyDescent="0.25">
      <c r="A132" s="33" t="s">
        <v>3488</v>
      </c>
      <c r="B132" s="51">
        <f t="shared" ref="B132:G132" si="9">SUM(B110:B130)</f>
        <v>7706729</v>
      </c>
      <c r="C132" s="51">
        <f t="shared" si="9"/>
        <v>6826077</v>
      </c>
      <c r="D132" s="51">
        <f t="shared" si="9"/>
        <v>9265355</v>
      </c>
      <c r="E132" s="51">
        <f t="shared" si="9"/>
        <v>8894619</v>
      </c>
      <c r="F132" s="51">
        <f t="shared" si="9"/>
        <v>10159242.310000001</v>
      </c>
      <c r="G132" s="51">
        <f t="shared" si="9"/>
        <v>12658069.43</v>
      </c>
      <c r="H132" s="51"/>
      <c r="I132" s="51">
        <f>SUM(I110:I130)</f>
        <v>12569268.445</v>
      </c>
      <c r="J132" s="51">
        <f>SUM(J110:J130)</f>
        <v>1263500</v>
      </c>
      <c r="K132" s="51">
        <f>SUM(K110:K130)</f>
        <v>13682768.445</v>
      </c>
    </row>
    <row r="133" spans="1:11" x14ac:dyDescent="0.25">
      <c r="B133" s="51"/>
      <c r="C133" s="51"/>
      <c r="D133" s="51"/>
      <c r="E133" s="51"/>
      <c r="F133" s="51"/>
      <c r="G133" s="51"/>
      <c r="H133" s="51"/>
    </row>
    <row r="134" spans="1:11" x14ac:dyDescent="0.25">
      <c r="A134" s="33" t="s">
        <v>3452</v>
      </c>
      <c r="B134" s="51">
        <f>B106-B132</f>
        <v>5286487</v>
      </c>
      <c r="C134" s="51">
        <f t="shared" ref="C134:E134" si="10">C106-C132</f>
        <v>3881612</v>
      </c>
      <c r="D134" s="51">
        <f t="shared" si="10"/>
        <v>1388415</v>
      </c>
      <c r="E134" s="51">
        <f t="shared" si="10"/>
        <v>3734005</v>
      </c>
      <c r="F134" s="51">
        <f>F106-F132</f>
        <v>-1651702.2700000014</v>
      </c>
      <c r="G134" s="58"/>
      <c r="H134" s="51"/>
      <c r="I134" s="51">
        <f>I106-I132</f>
        <v>-2230343.4450000003</v>
      </c>
      <c r="J134" s="51">
        <f>J106-J132</f>
        <v>-1263500</v>
      </c>
      <c r="K134" s="51">
        <f>K106-K132</f>
        <v>2026156.5549999997</v>
      </c>
    </row>
    <row r="135" spans="1:11" x14ac:dyDescent="0.25">
      <c r="B135" s="51"/>
      <c r="C135" s="51"/>
      <c r="D135" s="51"/>
      <c r="E135" s="51"/>
      <c r="F135" s="51"/>
      <c r="G135" s="58"/>
      <c r="H135" s="51"/>
      <c r="I135" s="51"/>
      <c r="J135" s="51"/>
    </row>
    <row r="136" spans="1:11" x14ac:dyDescent="0.25">
      <c r="A136" s="55" t="s">
        <v>3453</v>
      </c>
      <c r="B136" s="51">
        <v>3403310</v>
      </c>
      <c r="C136" s="51">
        <v>-3031189</v>
      </c>
      <c r="D136" s="51">
        <v>-26442</v>
      </c>
      <c r="E136" s="51">
        <v>0</v>
      </c>
      <c r="F136" s="51">
        <v>0</v>
      </c>
      <c r="G136" s="51"/>
      <c r="H136" s="51"/>
      <c r="I136" s="51">
        <v>0</v>
      </c>
      <c r="J136" s="51">
        <f>H136+I136</f>
        <v>0</v>
      </c>
      <c r="K136" s="52">
        <f>I136+J136</f>
        <v>0</v>
      </c>
    </row>
    <row r="137" spans="1:11" x14ac:dyDescent="0.25">
      <c r="B137" s="51"/>
      <c r="C137" s="51"/>
      <c r="D137" s="51"/>
      <c r="E137" s="51"/>
      <c r="F137" s="51"/>
      <c r="G137" s="51"/>
      <c r="H137" s="51"/>
    </row>
    <row r="138" spans="1:11" x14ac:dyDescent="0.25">
      <c r="A138" s="33" t="s">
        <v>3454</v>
      </c>
      <c r="B138" s="51">
        <f>+B104+B106-B132+B136</f>
        <v>13669661</v>
      </c>
      <c r="C138" s="51">
        <f t="shared" ref="C138:K138" si="11">+C104+C106-C132+C136</f>
        <v>14520084</v>
      </c>
      <c r="D138" s="51">
        <f t="shared" si="11"/>
        <v>15882057</v>
      </c>
      <c r="E138" s="51">
        <f t="shared" si="11"/>
        <v>19616062</v>
      </c>
      <c r="F138" s="51">
        <f t="shared" si="11"/>
        <v>-1651702.2700000014</v>
      </c>
      <c r="G138" s="51">
        <f t="shared" si="11"/>
        <v>13136539.57</v>
      </c>
      <c r="H138" s="51"/>
      <c r="I138" s="51">
        <f t="shared" si="11"/>
        <v>-2230343.4450000003</v>
      </c>
      <c r="J138" s="51">
        <f t="shared" si="11"/>
        <v>-1263500</v>
      </c>
      <c r="K138" s="51">
        <f t="shared" si="11"/>
        <v>15162696.125</v>
      </c>
    </row>
    <row r="139" spans="1:11" x14ac:dyDescent="0.25">
      <c r="B139" s="51"/>
      <c r="C139" s="51"/>
      <c r="D139" s="51"/>
      <c r="E139" s="51"/>
      <c r="F139" s="51"/>
      <c r="G139" s="51"/>
      <c r="H139" s="51"/>
    </row>
    <row r="140" spans="1:11" x14ac:dyDescent="0.25">
      <c r="B140" s="51"/>
      <c r="C140" s="51"/>
      <c r="D140" s="51"/>
      <c r="E140" s="51"/>
      <c r="F140" s="51"/>
      <c r="G140" s="51"/>
      <c r="H140" s="51"/>
    </row>
    <row r="141" spans="1:11" x14ac:dyDescent="0.25">
      <c r="A141" s="33" t="s">
        <v>3489</v>
      </c>
      <c r="G141" s="59"/>
    </row>
    <row r="142" spans="1:11" x14ac:dyDescent="0.25">
      <c r="A142" s="33" t="s">
        <v>3490</v>
      </c>
      <c r="B142" s="59">
        <f>+B16+B18</f>
        <v>12674039</v>
      </c>
      <c r="C142" s="59">
        <f t="shared" ref="C142:G142" si="12">+C16+C18</f>
        <v>14540628</v>
      </c>
      <c r="D142" s="59">
        <f t="shared" si="12"/>
        <v>16536222</v>
      </c>
      <c r="E142" s="59">
        <f t="shared" si="12"/>
        <v>15723432</v>
      </c>
      <c r="F142" s="59">
        <f t="shared" si="12"/>
        <v>12024515.310000001</v>
      </c>
      <c r="G142" s="59">
        <f t="shared" si="12"/>
        <v>15185739</v>
      </c>
      <c r="H142" s="59"/>
      <c r="I142" s="59">
        <f>+I16+I18</f>
        <v>15487068</v>
      </c>
      <c r="J142" s="59">
        <f>+J16+J18</f>
        <v>0</v>
      </c>
      <c r="K142" s="59">
        <f>+K16+K18</f>
        <v>15487068</v>
      </c>
    </row>
    <row r="143" spans="1:11" x14ac:dyDescent="0.25">
      <c r="A143" s="33" t="s">
        <v>3491</v>
      </c>
      <c r="B143" s="59">
        <f t="shared" ref="B143:G143" si="13">B63+B64</f>
        <v>420123</v>
      </c>
      <c r="C143" s="59">
        <f t="shared" si="13"/>
        <v>715721</v>
      </c>
      <c r="D143" s="59">
        <f t="shared" si="13"/>
        <v>343484</v>
      </c>
      <c r="E143" s="59">
        <f t="shared" si="13"/>
        <v>380354</v>
      </c>
      <c r="F143" s="59">
        <f t="shared" si="13"/>
        <v>246484.65999999997</v>
      </c>
      <c r="G143" s="59">
        <f t="shared" si="13"/>
        <v>313710</v>
      </c>
      <c r="H143" s="59"/>
      <c r="I143" s="59">
        <f>I63+I64</f>
        <v>343800</v>
      </c>
      <c r="J143" s="59">
        <f>J63+J64</f>
        <v>0</v>
      </c>
      <c r="K143" s="59">
        <f>K63+K64</f>
        <v>343800</v>
      </c>
    </row>
    <row r="144" spans="1:11" x14ac:dyDescent="0.25">
      <c r="A144" s="33" t="s">
        <v>3492</v>
      </c>
      <c r="B144" s="59">
        <f t="shared" ref="B144:G144" si="14">+B78+B83</f>
        <v>1204687</v>
      </c>
      <c r="C144" s="59">
        <f t="shared" si="14"/>
        <v>1319485</v>
      </c>
      <c r="D144" s="59">
        <f t="shared" si="14"/>
        <v>1487871</v>
      </c>
      <c r="E144" s="59">
        <f t="shared" si="14"/>
        <v>1593219</v>
      </c>
      <c r="F144" s="59">
        <f t="shared" si="14"/>
        <v>744160.94000000006</v>
      </c>
      <c r="G144" s="59">
        <f t="shared" si="14"/>
        <v>889935</v>
      </c>
      <c r="H144" s="59"/>
      <c r="I144" s="59">
        <f>+I78+I83</f>
        <v>1185403</v>
      </c>
      <c r="J144" s="59">
        <f>+J78+J83</f>
        <v>0</v>
      </c>
      <c r="K144" s="59">
        <f>+K78+K83</f>
        <v>1185403</v>
      </c>
    </row>
    <row r="145" spans="1:11" x14ac:dyDescent="0.25">
      <c r="A145" s="33" t="s">
        <v>3493</v>
      </c>
      <c r="B145" s="59">
        <f>+B106</f>
        <v>12993216</v>
      </c>
      <c r="C145" s="59">
        <f t="shared" ref="C145:K145" si="15">+C106</f>
        <v>10707689</v>
      </c>
      <c r="D145" s="59">
        <f t="shared" si="15"/>
        <v>10653770</v>
      </c>
      <c r="E145" s="59">
        <f t="shared" si="15"/>
        <v>12628624</v>
      </c>
      <c r="F145" s="59">
        <f t="shared" si="15"/>
        <v>8507540.0399999991</v>
      </c>
      <c r="G145" s="59">
        <f t="shared" si="15"/>
        <v>9912552</v>
      </c>
      <c r="H145" s="59"/>
      <c r="I145" s="59">
        <f t="shared" si="15"/>
        <v>10338925</v>
      </c>
      <c r="J145" s="59">
        <f t="shared" si="15"/>
        <v>0</v>
      </c>
      <c r="K145" s="59">
        <f t="shared" si="15"/>
        <v>15708925</v>
      </c>
    </row>
    <row r="146" spans="1:11" x14ac:dyDescent="0.25">
      <c r="A146" s="33" t="s">
        <v>109</v>
      </c>
      <c r="B146" s="59">
        <f t="shared" ref="B146:G146" si="16">SUM(B142:B145)</f>
        <v>27292065</v>
      </c>
      <c r="C146" s="59">
        <f t="shared" si="16"/>
        <v>27283523</v>
      </c>
      <c r="D146" s="59">
        <f t="shared" si="16"/>
        <v>29021347</v>
      </c>
      <c r="E146" s="59">
        <f t="shared" si="16"/>
        <v>30325629</v>
      </c>
      <c r="F146" s="59">
        <f t="shared" si="16"/>
        <v>21522700.949999999</v>
      </c>
      <c r="G146" s="59">
        <f t="shared" si="16"/>
        <v>26301936</v>
      </c>
      <c r="H146" s="59"/>
      <c r="I146" s="59">
        <f>SUM(I142:I145)</f>
        <v>27355196</v>
      </c>
      <c r="J146" s="59">
        <f>SUM(J142:J145)</f>
        <v>0</v>
      </c>
      <c r="K146" s="59">
        <f>SUM(K142:K145)</f>
        <v>32725196</v>
      </c>
    </row>
    <row r="147" spans="1:11" x14ac:dyDescent="0.25">
      <c r="G147" s="59"/>
    </row>
    <row r="148" spans="1:11" x14ac:dyDescent="0.25">
      <c r="A148" s="33" t="s">
        <v>3494</v>
      </c>
      <c r="G148" s="59"/>
    </row>
    <row r="149" spans="1:11" x14ac:dyDescent="0.25">
      <c r="A149" s="33" t="s">
        <v>3490</v>
      </c>
      <c r="B149" s="59">
        <f t="shared" ref="B149:G149" si="17">+B50</f>
        <v>10834697</v>
      </c>
      <c r="C149" s="59">
        <f t="shared" si="17"/>
        <v>12138109</v>
      </c>
      <c r="D149" s="59">
        <f t="shared" si="17"/>
        <v>12990329</v>
      </c>
      <c r="E149" s="59">
        <f t="shared" si="17"/>
        <v>7309116</v>
      </c>
      <c r="F149" s="59">
        <f t="shared" si="17"/>
        <v>4169660.97</v>
      </c>
      <c r="G149" s="59">
        <f t="shared" si="17"/>
        <v>4822606.41</v>
      </c>
      <c r="H149" s="59"/>
      <c r="I149" s="59">
        <f>+I50</f>
        <v>4971605.5059999991</v>
      </c>
      <c r="J149" s="59">
        <f>+J50</f>
        <v>289900</v>
      </c>
      <c r="K149" s="59">
        <f>+K50</f>
        <v>5228405.5059999991</v>
      </c>
    </row>
    <row r="150" spans="1:11" x14ac:dyDescent="0.25">
      <c r="A150" s="33" t="s">
        <v>3491</v>
      </c>
      <c r="B150" s="59">
        <f t="shared" ref="B150:G150" si="18">B65</f>
        <v>490805</v>
      </c>
      <c r="C150" s="59">
        <f t="shared" si="18"/>
        <v>268959</v>
      </c>
      <c r="D150" s="59">
        <f t="shared" si="18"/>
        <v>306113</v>
      </c>
      <c r="E150" s="59">
        <f t="shared" si="18"/>
        <v>363471</v>
      </c>
      <c r="F150" s="59">
        <f t="shared" si="18"/>
        <v>297543.45</v>
      </c>
      <c r="G150" s="59">
        <f t="shared" si="18"/>
        <v>336131</v>
      </c>
      <c r="H150" s="59"/>
      <c r="I150" s="59">
        <f>I65</f>
        <v>306426.71000000002</v>
      </c>
      <c r="J150" s="59">
        <f>J65</f>
        <v>0</v>
      </c>
      <c r="K150" s="59">
        <f>K65</f>
        <v>306426.71000000002</v>
      </c>
    </row>
    <row r="151" spans="1:11" x14ac:dyDescent="0.25">
      <c r="A151" s="33" t="s">
        <v>3492</v>
      </c>
      <c r="B151" s="59">
        <f t="shared" ref="B151:G151" si="19">+B93</f>
        <v>821490</v>
      </c>
      <c r="C151" s="59">
        <f t="shared" si="19"/>
        <v>1128565</v>
      </c>
      <c r="D151" s="59">
        <f t="shared" si="19"/>
        <v>1219496</v>
      </c>
      <c r="E151" s="59">
        <f t="shared" si="19"/>
        <v>626195</v>
      </c>
      <c r="F151" s="59">
        <f t="shared" si="19"/>
        <v>403282.74000000005</v>
      </c>
      <c r="G151" s="59">
        <f t="shared" si="19"/>
        <v>456324</v>
      </c>
      <c r="H151" s="59"/>
      <c r="I151" s="59">
        <f>+I93</f>
        <v>468700.80999999988</v>
      </c>
      <c r="J151" s="59">
        <f>+J93</f>
        <v>75000</v>
      </c>
      <c r="K151" s="59">
        <f>+K93</f>
        <v>543700.80999999982</v>
      </c>
    </row>
    <row r="152" spans="1:11" x14ac:dyDescent="0.25">
      <c r="A152" s="33" t="s">
        <v>3493</v>
      </c>
      <c r="B152" s="59">
        <f t="shared" ref="B152:G152" si="20">+B132</f>
        <v>7706729</v>
      </c>
      <c r="C152" s="59">
        <f t="shared" si="20"/>
        <v>6826077</v>
      </c>
      <c r="D152" s="59">
        <f t="shared" si="20"/>
        <v>9265355</v>
      </c>
      <c r="E152" s="59">
        <f t="shared" si="20"/>
        <v>8894619</v>
      </c>
      <c r="F152" s="59">
        <f t="shared" si="20"/>
        <v>10159242.310000001</v>
      </c>
      <c r="G152" s="59">
        <f t="shared" si="20"/>
        <v>12658069.43</v>
      </c>
      <c r="H152" s="59"/>
      <c r="I152" s="59">
        <f>+I132</f>
        <v>12569268.445</v>
      </c>
      <c r="J152" s="59">
        <f>+J132</f>
        <v>1263500</v>
      </c>
      <c r="K152" s="59">
        <f>+K132</f>
        <v>13682768.445</v>
      </c>
    </row>
    <row r="153" spans="1:11" x14ac:dyDescent="0.25">
      <c r="A153" s="33" t="s">
        <v>109</v>
      </c>
      <c r="B153" s="59">
        <f t="shared" ref="B153:G153" si="21">SUM(B149:B152)</f>
        <v>19853721</v>
      </c>
      <c r="C153" s="59">
        <f t="shared" si="21"/>
        <v>20361710</v>
      </c>
      <c r="D153" s="59">
        <f t="shared" si="21"/>
        <v>23781293</v>
      </c>
      <c r="E153" s="59">
        <f t="shared" si="21"/>
        <v>17193401</v>
      </c>
      <c r="F153" s="59">
        <f t="shared" si="21"/>
        <v>15029729.470000001</v>
      </c>
      <c r="G153" s="59">
        <f t="shared" si="21"/>
        <v>18273130.84</v>
      </c>
      <c r="H153" s="59"/>
      <c r="I153" s="59">
        <f>SUM(I149:I152)</f>
        <v>18316001.471000001</v>
      </c>
      <c r="J153" s="59">
        <f>SUM(J149:J152)</f>
        <v>1628400</v>
      </c>
      <c r="K153" s="59">
        <f>SUM(K149:K152)</f>
        <v>19761301.471000001</v>
      </c>
    </row>
    <row r="155" spans="1:11" x14ac:dyDescent="0.25">
      <c r="A155" s="33" t="s">
        <v>3495</v>
      </c>
      <c r="B155" s="59">
        <f>+B146-B153</f>
        <v>7438344</v>
      </c>
      <c r="C155" s="59">
        <f>+C146-C153</f>
        <v>6921813</v>
      </c>
      <c r="D155" s="59">
        <f t="shared" ref="D155:G155" si="22">+D146-D153</f>
        <v>5240054</v>
      </c>
      <c r="E155" s="59">
        <f t="shared" si="22"/>
        <v>13132228</v>
      </c>
      <c r="F155" s="59">
        <f t="shared" si="22"/>
        <v>6492971.4799999986</v>
      </c>
      <c r="G155" s="59">
        <f t="shared" si="22"/>
        <v>8028805.1600000001</v>
      </c>
      <c r="H155" s="59"/>
      <c r="I155" s="59">
        <f>+I146-I153</f>
        <v>9039194.5289999992</v>
      </c>
      <c r="J155" s="59">
        <f>+J146-J153</f>
        <v>-1628400</v>
      </c>
      <c r="K155" s="59">
        <f>+K146-K153</f>
        <v>12963894.528999999</v>
      </c>
    </row>
    <row r="156" spans="1:11" x14ac:dyDescent="0.25">
      <c r="B156" s="59"/>
      <c r="C156" s="59"/>
      <c r="D156" s="59"/>
      <c r="E156" s="59"/>
      <c r="F156" s="59"/>
      <c r="G156" s="59"/>
      <c r="H156" s="59"/>
    </row>
    <row r="157" spans="1:11" x14ac:dyDescent="0.25">
      <c r="B157" s="51"/>
      <c r="C157" s="51"/>
      <c r="D157" s="51"/>
      <c r="E157" s="51"/>
      <c r="F157" s="51"/>
      <c r="G157" s="51"/>
      <c r="H157" s="51"/>
    </row>
    <row r="158" spans="1:11" x14ac:dyDescent="0.25">
      <c r="A158" s="49" t="s">
        <v>3496</v>
      </c>
      <c r="B158" s="51"/>
      <c r="C158" s="51"/>
      <c r="D158" s="51"/>
      <c r="E158" s="51"/>
      <c r="F158" s="51"/>
      <c r="G158" s="51"/>
      <c r="H158" s="51"/>
    </row>
    <row r="159" spans="1:11" x14ac:dyDescent="0.25">
      <c r="A159" s="49"/>
      <c r="B159" s="51"/>
      <c r="C159" s="51"/>
      <c r="D159" s="51"/>
      <c r="E159" s="51"/>
      <c r="F159" s="51"/>
      <c r="G159" s="51"/>
      <c r="H159" s="51"/>
    </row>
    <row r="160" spans="1:11" x14ac:dyDescent="0.25">
      <c r="A160" s="33" t="s">
        <v>3420</v>
      </c>
      <c r="B160" s="51">
        <v>767424</v>
      </c>
      <c r="C160" s="51">
        <v>926836</v>
      </c>
      <c r="D160" s="51">
        <v>1044925</v>
      </c>
      <c r="E160" s="51">
        <v>1089793</v>
      </c>
      <c r="F160" s="51">
        <v>0</v>
      </c>
      <c r="G160" s="51">
        <v>1089793</v>
      </c>
      <c r="H160" s="51"/>
      <c r="I160" s="51">
        <v>0</v>
      </c>
      <c r="J160" s="51">
        <v>0</v>
      </c>
      <c r="K160" s="52">
        <f>G173</f>
        <v>1204977</v>
      </c>
    </row>
    <row r="161" spans="1:11" x14ac:dyDescent="0.25">
      <c r="B161" s="51"/>
      <c r="C161" s="51"/>
      <c r="D161" s="51"/>
      <c r="E161" s="51"/>
      <c r="F161" s="51"/>
      <c r="G161" s="51"/>
      <c r="H161" s="51"/>
    </row>
    <row r="162" spans="1:11" x14ac:dyDescent="0.25">
      <c r="A162" s="33" t="s">
        <v>3421</v>
      </c>
      <c r="B162" s="51">
        <f>'Hotel Fund'!C10</f>
        <v>236652</v>
      </c>
      <c r="C162" s="51">
        <f>'Hotel Fund'!D10</f>
        <v>213820</v>
      </c>
      <c r="D162" s="51">
        <f>'Hotel Fund'!E10</f>
        <v>190782</v>
      </c>
      <c r="E162" s="51">
        <f>'Hotel Fund'!F10</f>
        <v>261012</v>
      </c>
      <c r="F162" s="51">
        <f>'Hotel Fund'!G10</f>
        <v>167444.71</v>
      </c>
      <c r="G162" s="51">
        <f>'Hotel Fund'!H10</f>
        <v>170000</v>
      </c>
      <c r="H162" s="51"/>
      <c r="I162" s="51">
        <f>'Hotel Fund'!J10</f>
        <v>160000</v>
      </c>
      <c r="J162" s="51">
        <f>'Hotel Fund'!K10</f>
        <v>0</v>
      </c>
      <c r="K162" s="51">
        <f>'Hotel Fund'!L10</f>
        <v>160000</v>
      </c>
    </row>
    <row r="163" spans="1:11" x14ac:dyDescent="0.25">
      <c r="A163" s="33" t="s">
        <v>3497</v>
      </c>
      <c r="B163" s="51">
        <v>0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/>
      <c r="I163" s="51">
        <v>0</v>
      </c>
      <c r="J163" s="51">
        <v>0</v>
      </c>
      <c r="K163" s="52">
        <f>I163+J163</f>
        <v>0</v>
      </c>
    </row>
    <row r="164" spans="1:11" x14ac:dyDescent="0.25">
      <c r="A164" s="33" t="s">
        <v>3498</v>
      </c>
      <c r="B164" s="51">
        <f>'Hotel Fund'!C11</f>
        <v>6353</v>
      </c>
      <c r="C164" s="51">
        <f>'Hotel Fund'!D11</f>
        <v>44268</v>
      </c>
      <c r="D164" s="51">
        <f>'Hotel Fund'!E11</f>
        <v>55057</v>
      </c>
      <c r="E164" s="51">
        <f>'Hotel Fund'!F11</f>
        <v>40988</v>
      </c>
      <c r="F164" s="51">
        <f>'Hotel Fund'!G11</f>
        <v>36313.550000000003</v>
      </c>
      <c r="G164" s="51">
        <f>'Hotel Fund'!H11</f>
        <v>48184</v>
      </c>
      <c r="H164" s="51"/>
      <c r="I164" s="51">
        <f>'Hotel Fund'!J11</f>
        <v>52000</v>
      </c>
      <c r="J164" s="51">
        <f>'Hotel Fund'!K11</f>
        <v>0</v>
      </c>
      <c r="K164" s="51">
        <f>'Hotel Fund'!L11</f>
        <v>52000</v>
      </c>
    </row>
    <row r="165" spans="1:11" x14ac:dyDescent="0.25">
      <c r="A165" s="33" t="s">
        <v>3499</v>
      </c>
      <c r="B165" s="51">
        <v>0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/>
      <c r="I165" s="51">
        <v>0</v>
      </c>
      <c r="J165" s="51">
        <v>0</v>
      </c>
      <c r="K165" s="52">
        <f>I165+J165</f>
        <v>0</v>
      </c>
    </row>
    <row r="166" spans="1:11" x14ac:dyDescent="0.25">
      <c r="B166" s="51"/>
      <c r="C166" s="51"/>
      <c r="D166" s="51"/>
      <c r="E166" s="51"/>
      <c r="F166" s="51"/>
      <c r="G166" s="51"/>
      <c r="H166" s="51"/>
      <c r="I166" s="51"/>
      <c r="J166" s="51"/>
    </row>
    <row r="167" spans="1:11" x14ac:dyDescent="0.25">
      <c r="A167" s="33" t="s">
        <v>3457</v>
      </c>
      <c r="B167" s="51">
        <f>'Hotel Fund'!C82</f>
        <v>83593</v>
      </c>
      <c r="C167" s="51">
        <f>'Hotel Fund'!D82</f>
        <v>139999</v>
      </c>
      <c r="D167" s="51">
        <f>'Hotel Fund'!E82</f>
        <v>200971</v>
      </c>
      <c r="E167" s="51">
        <f>'Hotel Fund'!F82</f>
        <v>153550</v>
      </c>
      <c r="F167" s="51">
        <f>'Hotel Fund'!G82</f>
        <v>83346.709999999992</v>
      </c>
      <c r="G167" s="51">
        <f>'Hotel Fund'!H82</f>
        <v>103000</v>
      </c>
      <c r="H167" s="51"/>
      <c r="I167" s="51">
        <f>'Hotel Fund'!J82</f>
        <v>150250</v>
      </c>
      <c r="J167" s="51">
        <f>'Hotel Fund'!K82</f>
        <v>260350</v>
      </c>
      <c r="K167" s="51">
        <f>'Hotel Fund'!L82</f>
        <v>410600</v>
      </c>
    </row>
    <row r="168" spans="1:11" x14ac:dyDescent="0.25">
      <c r="B168" s="51"/>
      <c r="C168" s="51"/>
      <c r="D168" s="51"/>
      <c r="E168" s="51"/>
      <c r="F168" s="51"/>
      <c r="G168" s="51"/>
      <c r="H168" s="51"/>
    </row>
    <row r="169" spans="1:11" x14ac:dyDescent="0.25">
      <c r="A169" s="33" t="s">
        <v>3452</v>
      </c>
      <c r="B169" s="51">
        <f t="shared" ref="B169:G169" si="23">B162+B163+B164+B165-B167</f>
        <v>159412</v>
      </c>
      <c r="C169" s="51">
        <f t="shared" si="23"/>
        <v>118089</v>
      </c>
      <c r="D169" s="51">
        <f t="shared" si="23"/>
        <v>44868</v>
      </c>
      <c r="E169" s="51">
        <f t="shared" si="23"/>
        <v>148450</v>
      </c>
      <c r="F169" s="51">
        <f t="shared" si="23"/>
        <v>120411.55000000002</v>
      </c>
      <c r="G169" s="51">
        <f t="shared" si="23"/>
        <v>115184</v>
      </c>
      <c r="H169" s="51"/>
      <c r="I169" s="51">
        <f>I162+I163+I164+I165-I167</f>
        <v>61750</v>
      </c>
      <c r="J169" s="51">
        <f>J162+J163+J164+J165-J167</f>
        <v>-260350</v>
      </c>
      <c r="K169" s="51">
        <f>K162+K163+K164+K165-K167</f>
        <v>-198600</v>
      </c>
    </row>
    <row r="170" spans="1:11" x14ac:dyDescent="0.25">
      <c r="B170" s="51"/>
      <c r="C170" s="51"/>
      <c r="D170" s="51"/>
      <c r="E170" s="51"/>
      <c r="F170" s="51"/>
      <c r="G170" s="58"/>
      <c r="H170" s="51"/>
      <c r="I170" s="51"/>
      <c r="J170" s="51"/>
    </row>
    <row r="171" spans="1:11" x14ac:dyDescent="0.25">
      <c r="A171" s="55" t="s">
        <v>3453</v>
      </c>
      <c r="B171" s="51">
        <v>0</v>
      </c>
      <c r="C171" s="51">
        <v>0</v>
      </c>
      <c r="D171" s="51">
        <v>0</v>
      </c>
      <c r="E171" s="51">
        <v>0</v>
      </c>
      <c r="F171" s="51">
        <v>0</v>
      </c>
      <c r="G171" s="51"/>
      <c r="H171" s="51"/>
      <c r="I171" s="51">
        <v>0</v>
      </c>
      <c r="J171" s="51">
        <v>0</v>
      </c>
      <c r="K171" s="52">
        <f>I171+J171</f>
        <v>0</v>
      </c>
    </row>
    <row r="172" spans="1:11" x14ac:dyDescent="0.25">
      <c r="B172" s="51"/>
      <c r="C172" s="51"/>
      <c r="D172" s="51"/>
      <c r="E172" s="51"/>
      <c r="F172" s="51"/>
      <c r="G172" s="51"/>
      <c r="H172" s="51"/>
    </row>
    <row r="173" spans="1:11" x14ac:dyDescent="0.25">
      <c r="A173" s="33" t="s">
        <v>3454</v>
      </c>
      <c r="B173" s="51">
        <f t="shared" ref="B173:K173" si="24">+B160+B162+B164-B167+B165+B171</f>
        <v>926836</v>
      </c>
      <c r="C173" s="51">
        <f t="shared" si="24"/>
        <v>1044925</v>
      </c>
      <c r="D173" s="51">
        <f t="shared" si="24"/>
        <v>1089793</v>
      </c>
      <c r="E173" s="51">
        <f t="shared" si="24"/>
        <v>1238243</v>
      </c>
      <c r="F173" s="51">
        <f t="shared" si="24"/>
        <v>120411.55000000002</v>
      </c>
      <c r="G173" s="51">
        <f t="shared" si="24"/>
        <v>1204977</v>
      </c>
      <c r="H173" s="51"/>
      <c r="I173" s="51">
        <f t="shared" si="24"/>
        <v>61750</v>
      </c>
      <c r="J173" s="51">
        <f t="shared" si="24"/>
        <v>-260350</v>
      </c>
      <c r="K173" s="51">
        <f t="shared" si="24"/>
        <v>1006377</v>
      </c>
    </row>
    <row r="174" spans="1:11" x14ac:dyDescent="0.25">
      <c r="B174" s="51"/>
      <c r="C174" s="51"/>
      <c r="D174" s="51"/>
      <c r="E174" s="51"/>
      <c r="F174" s="51"/>
      <c r="G174" s="51"/>
      <c r="H174" s="51"/>
    </row>
    <row r="175" spans="1:11" x14ac:dyDescent="0.25">
      <c r="B175" s="51"/>
      <c r="C175" s="51"/>
      <c r="D175" s="51"/>
      <c r="E175" s="51"/>
      <c r="F175" s="51"/>
      <c r="G175" s="51"/>
      <c r="H175" s="51"/>
    </row>
    <row r="176" spans="1:11" x14ac:dyDescent="0.25">
      <c r="A176" s="60" t="s">
        <v>3500</v>
      </c>
      <c r="B176" s="51"/>
      <c r="C176" s="51"/>
      <c r="D176" s="51"/>
      <c r="E176" s="51"/>
      <c r="F176" s="51"/>
      <c r="G176" s="51"/>
      <c r="H176" s="51"/>
    </row>
    <row r="177" spans="1:11" x14ac:dyDescent="0.25">
      <c r="A177" s="49"/>
      <c r="B177" s="51"/>
      <c r="C177" s="51"/>
      <c r="D177" s="51"/>
      <c r="E177" s="51"/>
      <c r="F177" s="51"/>
      <c r="G177" s="51"/>
      <c r="H177" s="51"/>
    </row>
    <row r="178" spans="1:11" x14ac:dyDescent="0.25">
      <c r="A178" s="33" t="s">
        <v>3420</v>
      </c>
      <c r="B178" s="51">
        <v>5143819</v>
      </c>
      <c r="C178" s="51">
        <v>4231090</v>
      </c>
      <c r="D178" s="51">
        <v>3891837</v>
      </c>
      <c r="E178" s="51">
        <v>30472794</v>
      </c>
      <c r="F178" s="51">
        <v>0</v>
      </c>
      <c r="G178" s="51">
        <v>30472794</v>
      </c>
      <c r="H178" s="51"/>
      <c r="I178" s="51">
        <v>0</v>
      </c>
      <c r="J178" s="51">
        <f>F196</f>
        <v>-11281676.819999998</v>
      </c>
      <c r="K178" s="52">
        <f>G196</f>
        <v>17979248</v>
      </c>
    </row>
    <row r="179" spans="1:11" x14ac:dyDescent="0.25">
      <c r="A179" s="61"/>
      <c r="B179" s="51"/>
      <c r="C179" s="51"/>
      <c r="D179" s="51"/>
      <c r="E179" s="51"/>
      <c r="F179" s="51"/>
      <c r="G179" s="51"/>
      <c r="H179" s="51"/>
    </row>
    <row r="180" spans="1:11" x14ac:dyDescent="0.25">
      <c r="A180" s="61" t="s">
        <v>3501</v>
      </c>
      <c r="B180" s="51">
        <v>0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/>
      <c r="I180" s="51">
        <v>0</v>
      </c>
      <c r="J180" s="51">
        <f t="shared" ref="J180:K180" si="25">H180+I180</f>
        <v>0</v>
      </c>
      <c r="K180" s="52">
        <f t="shared" si="25"/>
        <v>0</v>
      </c>
    </row>
    <row r="181" spans="1:11" x14ac:dyDescent="0.25">
      <c r="A181" s="61" t="s">
        <v>3502</v>
      </c>
      <c r="B181" s="51">
        <f>'CIP Fund'!C44-('CIP Fund'!C39+'CIP Fund'!C38+'CIP Fund'!C34+'CIP Fund'!C32)</f>
        <v>20644</v>
      </c>
      <c r="C181" s="51">
        <f>'CIP Fund'!D44-('CIP Fund'!D39+'CIP Fund'!D38+'CIP Fund'!D34+'CIP Fund'!D32)</f>
        <v>57225</v>
      </c>
      <c r="D181" s="51">
        <f>'CIP Fund'!E44-('CIP Fund'!E39+'CIP Fund'!E38+'CIP Fund'!E34+'CIP Fund'!E32)</f>
        <v>26866328</v>
      </c>
      <c r="E181" s="51">
        <f>'CIP Fund'!F44-('CIP Fund'!F39+'CIP Fund'!F38+'CIP Fund'!F34+'CIP Fund'!F32)</f>
        <v>0</v>
      </c>
      <c r="F181" s="51">
        <f>'CIP Fund'!G44-('CIP Fund'!G39+'CIP Fund'!G38+'CIP Fund'!G34+'CIP Fund'!G32)</f>
        <v>873352.47</v>
      </c>
      <c r="G181" s="51">
        <f>'CIP Fund'!H44-('CIP Fund'!H39+'CIP Fund'!H38+'CIP Fund'!H34+'CIP Fund'!H32)</f>
        <v>1000000</v>
      </c>
      <c r="H181" s="51"/>
      <c r="I181" s="51">
        <f>'CIP Fund'!J44-('CIP Fund'!J39+'CIP Fund'!J38+'CIP Fund'!J34+'CIP Fund'!J32)</f>
        <v>0</v>
      </c>
      <c r="J181" s="51">
        <f>'CIP Fund'!K44-('CIP Fund'!K39+'CIP Fund'!K38+'CIP Fund'!K34+'CIP Fund'!K32)</f>
        <v>0</v>
      </c>
      <c r="K181" s="51">
        <f>'CIP Fund'!L44-('CIP Fund'!L39+'CIP Fund'!L38+'CIP Fund'!L34+'CIP Fund'!L32)</f>
        <v>0</v>
      </c>
    </row>
    <row r="182" spans="1:11" x14ac:dyDescent="0.25">
      <c r="A182" s="61" t="s">
        <v>3503</v>
      </c>
      <c r="B182" s="51">
        <v>0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/>
      <c r="I182" s="51">
        <v>0</v>
      </c>
      <c r="J182" s="51">
        <f t="shared" ref="J182:K190" si="26">H182+I182</f>
        <v>0</v>
      </c>
      <c r="K182" s="52">
        <f t="shared" si="26"/>
        <v>0</v>
      </c>
    </row>
    <row r="183" spans="1:11" x14ac:dyDescent="0.25">
      <c r="A183" s="61" t="s">
        <v>3504</v>
      </c>
      <c r="B183" s="51">
        <f>'CIP Fund'!C32</f>
        <v>9500</v>
      </c>
      <c r="C183" s="51">
        <f>'CIP Fund'!D32</f>
        <v>0</v>
      </c>
      <c r="D183" s="51">
        <f>'CIP Fund'!E32</f>
        <v>0</v>
      </c>
      <c r="E183" s="51">
        <v>0</v>
      </c>
      <c r="F183" s="51">
        <v>0</v>
      </c>
      <c r="G183" s="51">
        <v>0</v>
      </c>
      <c r="H183" s="51"/>
      <c r="I183" s="51">
        <v>0</v>
      </c>
      <c r="J183" s="51">
        <f t="shared" si="26"/>
        <v>0</v>
      </c>
      <c r="K183" s="52">
        <f t="shared" si="26"/>
        <v>0</v>
      </c>
    </row>
    <row r="184" spans="1:11" x14ac:dyDescent="0.25">
      <c r="A184" s="61" t="s">
        <v>3505</v>
      </c>
      <c r="B184" s="51">
        <f>'CIP Fund'!C34</f>
        <v>9500</v>
      </c>
      <c r="C184" s="51">
        <f>'CIP Fund'!D34</f>
        <v>0</v>
      </c>
      <c r="D184" s="51">
        <f>'CIP Fund'!E34</f>
        <v>0</v>
      </c>
      <c r="E184" s="51">
        <v>0</v>
      </c>
      <c r="F184" s="51">
        <v>0</v>
      </c>
      <c r="G184" s="51">
        <v>0</v>
      </c>
      <c r="H184" s="51"/>
      <c r="I184" s="51">
        <v>0</v>
      </c>
      <c r="J184" s="51">
        <f t="shared" si="26"/>
        <v>0</v>
      </c>
      <c r="K184" s="52">
        <f t="shared" si="26"/>
        <v>0</v>
      </c>
    </row>
    <row r="185" spans="1:11" x14ac:dyDescent="0.25">
      <c r="A185" s="61" t="s">
        <v>3506</v>
      </c>
      <c r="B185" s="51">
        <v>0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/>
      <c r="I185" s="51">
        <v>0</v>
      </c>
      <c r="J185" s="51">
        <f t="shared" si="26"/>
        <v>0</v>
      </c>
      <c r="K185" s="52">
        <f t="shared" si="26"/>
        <v>0</v>
      </c>
    </row>
    <row r="186" spans="1:11" x14ac:dyDescent="0.25">
      <c r="A186" s="61" t="s">
        <v>3507</v>
      </c>
      <c r="B186" s="51">
        <f>'CIP Fund'!C38</f>
        <v>407000</v>
      </c>
      <c r="C186" s="51">
        <f>'CIP Fund'!D38</f>
        <v>0</v>
      </c>
      <c r="D186" s="51">
        <f>'CIP Fund'!E38</f>
        <v>0</v>
      </c>
      <c r="E186" s="51">
        <v>0</v>
      </c>
      <c r="F186" s="51">
        <v>0</v>
      </c>
      <c r="G186" s="51">
        <v>0</v>
      </c>
      <c r="H186" s="51"/>
      <c r="I186" s="51">
        <v>0</v>
      </c>
      <c r="J186" s="51">
        <f t="shared" si="26"/>
        <v>0</v>
      </c>
      <c r="K186" s="52">
        <f t="shared" si="26"/>
        <v>0</v>
      </c>
    </row>
    <row r="187" spans="1:11" x14ac:dyDescent="0.25">
      <c r="A187" s="61" t="s">
        <v>3508</v>
      </c>
      <c r="B187" s="51">
        <f>'CIP Fund'!C39</f>
        <v>217000</v>
      </c>
      <c r="C187" s="51">
        <f>'CIP Fund'!D39</f>
        <v>0</v>
      </c>
      <c r="D187" s="51">
        <f>'CIP Fund'!E39</f>
        <v>0</v>
      </c>
      <c r="E187" s="51">
        <v>0</v>
      </c>
      <c r="F187" s="51">
        <v>0</v>
      </c>
      <c r="G187" s="51">
        <v>0</v>
      </c>
      <c r="H187" s="51"/>
      <c r="I187" s="51">
        <v>0</v>
      </c>
      <c r="J187" s="51">
        <f t="shared" si="26"/>
        <v>0</v>
      </c>
      <c r="K187" s="52">
        <f t="shared" si="26"/>
        <v>0</v>
      </c>
    </row>
    <row r="188" spans="1:11" x14ac:dyDescent="0.25">
      <c r="A188" s="61" t="s">
        <v>3509</v>
      </c>
      <c r="B188" s="51">
        <v>0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/>
      <c r="I188" s="68">
        <v>0</v>
      </c>
      <c r="J188" s="68">
        <f t="shared" si="26"/>
        <v>0</v>
      </c>
      <c r="K188" s="69">
        <f t="shared" si="26"/>
        <v>0</v>
      </c>
    </row>
    <row r="189" spans="1:11" x14ac:dyDescent="0.25">
      <c r="A189" s="33" t="s">
        <v>3457</v>
      </c>
      <c r="B189" s="51">
        <f>'CIP Fund'!C93</f>
        <v>1576407</v>
      </c>
      <c r="C189" s="51">
        <f>'CIP Fund'!D93</f>
        <v>396478</v>
      </c>
      <c r="D189" s="51">
        <f>'CIP Fund'!E93</f>
        <v>285371</v>
      </c>
      <c r="E189" s="51">
        <f>'Parks &amp; Rec'!F100+'Parks &amp; Rec'!F101+'Water Plant 3'!F89+'Wastewater Treatment Plant'!F88+'Effluent Disposal'!F89+'Booster Pumps'!F83+'Lift Stations'!F85+'CIP Fund'!F93</f>
        <v>13914999</v>
      </c>
      <c r="F189" s="51">
        <f>'Parks &amp; Rec'!G100+'Parks &amp; Rec'!G101+'Water Plant 3'!G89+'Wastewater Treatment Plant'!G88+'Effluent Disposal'!G89+'Booster Pumps'!G83+'Lift Stations'!G85+'CIP Fund'!G93</f>
        <v>12155029.289999999</v>
      </c>
      <c r="G189" s="51">
        <f>'Parks &amp; Rec'!H100+'Parks &amp; Rec'!H101+'Water Plant 3'!H89+'Wastewater Treatment Plant'!H88+'Effluent Disposal'!H89+'Booster Pumps'!H83+'Lift Stations'!H85+'CIP Fund'!H93</f>
        <v>13493546</v>
      </c>
      <c r="H189" s="51"/>
      <c r="I189" s="51">
        <f>'Parks &amp; Rec'!J100+'Parks &amp; Rec'!J101+'Water Plant 3'!J89+'Wastewater Treatment Plant'!J88+'Effluent Disposal'!J89+'Booster Pumps'!J83+'Lift Stations'!J85+'CIP Fund'!J93</f>
        <v>19450745</v>
      </c>
      <c r="J189" s="51">
        <f>'Parks &amp; Rec'!K100+'Parks &amp; Rec'!K101+'Water Plant 3'!K89+'Wastewater Treatment Plant'!K88+'Effluent Disposal'!K89+'Booster Pumps'!K83+'Lift Stations'!K85+'CIP Fund'!K93</f>
        <v>0</v>
      </c>
      <c r="K189" s="51">
        <f>'Parks &amp; Rec'!L100+'Parks &amp; Rec'!L101+'Water Plant 3'!L89+'Wastewater Treatment Plant'!L88+'Effluent Disposal'!L89+'Booster Pumps'!L83+'Lift Stations'!L85+'CIP Fund'!L93</f>
        <v>19300745</v>
      </c>
    </row>
    <row r="190" spans="1:11" x14ac:dyDescent="0.25">
      <c r="A190" s="61" t="s">
        <v>3510</v>
      </c>
      <c r="B190" s="51">
        <v>0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/>
      <c r="I190" s="48">
        <v>0</v>
      </c>
      <c r="J190" s="51">
        <f t="shared" si="26"/>
        <v>0</v>
      </c>
      <c r="K190" s="52">
        <f t="shared" si="26"/>
        <v>0</v>
      </c>
    </row>
    <row r="191" spans="1:11" x14ac:dyDescent="0.25">
      <c r="A191" s="61"/>
      <c r="B191" s="51"/>
      <c r="C191" s="51"/>
      <c r="D191" s="51"/>
      <c r="E191" s="51"/>
      <c r="F191" s="51"/>
      <c r="G191" s="51"/>
      <c r="H191" s="51"/>
    </row>
    <row r="192" spans="1:11" x14ac:dyDescent="0.25">
      <c r="A192" s="61" t="s">
        <v>3452</v>
      </c>
      <c r="B192" s="51">
        <f t="shared" ref="B192:D192" si="27">B180+B181-B189-B190+B188+B182+B183+B184+B186+B185+B187</f>
        <v>-912763</v>
      </c>
      <c r="C192" s="51">
        <f t="shared" si="27"/>
        <v>-339253</v>
      </c>
      <c r="D192" s="51">
        <f t="shared" si="27"/>
        <v>26580957</v>
      </c>
      <c r="E192" s="51">
        <f t="shared" ref="E192:G192" si="28">E180+E181-E189-E190+E188+E182+E183+E184+E186+E185+E187</f>
        <v>-13914999</v>
      </c>
      <c r="F192" s="51">
        <f t="shared" si="28"/>
        <v>-11281676.819999998</v>
      </c>
      <c r="G192" s="51">
        <f t="shared" si="28"/>
        <v>-12493546</v>
      </c>
      <c r="H192" s="51"/>
      <c r="I192" s="51">
        <f>I180+I181-I189-I190+I188+I182+I183+I184+I186+I185+I187</f>
        <v>-19450745</v>
      </c>
      <c r="J192" s="51">
        <f>J180+J181-J189-J190+J188+J182+J183+J184+J186+J185+J187</f>
        <v>0</v>
      </c>
      <c r="K192" s="52">
        <f>I192+J192</f>
        <v>-19450745</v>
      </c>
    </row>
    <row r="193" spans="1:11" x14ac:dyDescent="0.25">
      <c r="A193" s="61"/>
      <c r="B193" s="51"/>
      <c r="C193" s="51"/>
      <c r="D193" s="51"/>
      <c r="E193" s="51"/>
      <c r="F193" s="51"/>
      <c r="G193" s="51"/>
      <c r="H193" s="51"/>
      <c r="I193" s="51"/>
      <c r="J193" s="51"/>
    </row>
    <row r="194" spans="1:11" x14ac:dyDescent="0.25">
      <c r="A194" s="62" t="s">
        <v>3453</v>
      </c>
      <c r="B194" s="57">
        <v>-2513249</v>
      </c>
      <c r="C194" s="57">
        <v>573476</v>
      </c>
      <c r="D194" s="57">
        <v>26580957</v>
      </c>
      <c r="E194" s="51">
        <v>0</v>
      </c>
      <c r="F194" s="51">
        <v>0</v>
      </c>
      <c r="G194" s="51"/>
      <c r="H194" s="51"/>
      <c r="I194" s="51">
        <v>0</v>
      </c>
      <c r="J194" s="51">
        <v>0</v>
      </c>
      <c r="K194" s="52">
        <f>I194+J194</f>
        <v>0</v>
      </c>
    </row>
    <row r="195" spans="1:11" x14ac:dyDescent="0.25">
      <c r="A195" s="61"/>
      <c r="B195" s="51"/>
      <c r="C195" s="51"/>
      <c r="D195" s="51"/>
      <c r="E195" s="51"/>
      <c r="F195" s="51"/>
      <c r="G195" s="51"/>
      <c r="H195" s="51"/>
    </row>
    <row r="196" spans="1:11" x14ac:dyDescent="0.25">
      <c r="A196" s="33" t="s">
        <v>3454</v>
      </c>
      <c r="B196" s="51">
        <f t="shared" ref="B196:D196" si="29">+B178+B180+B181+B188-B189+B182+B183+B184+B186+B185-B190+B187+B194</f>
        <v>1717807</v>
      </c>
      <c r="C196" s="51">
        <f t="shared" si="29"/>
        <v>4465313</v>
      </c>
      <c r="D196" s="51">
        <f t="shared" si="29"/>
        <v>57053751</v>
      </c>
      <c r="E196" s="51">
        <f t="shared" ref="E196:G196" si="30">+E178+E180+E181+E188-E189+E182+E183+E184+E186+E185-E190+E187+E194</f>
        <v>16557795</v>
      </c>
      <c r="F196" s="51">
        <f t="shared" si="30"/>
        <v>-11281676.819999998</v>
      </c>
      <c r="G196" s="51">
        <f t="shared" si="30"/>
        <v>17979248</v>
      </c>
      <c r="H196" s="51"/>
      <c r="I196" s="51">
        <f>+I178+I180+I181+I188-I189+I182+I183+I184+I186+I185-I190+I187+I194</f>
        <v>-19450745</v>
      </c>
      <c r="J196" s="51">
        <f>+J178+J180+J181+J188-J189+J182+J183+J184+J186+J185-J190+J187+J194</f>
        <v>-11281676.819999998</v>
      </c>
      <c r="K196" s="51">
        <f>+K178+K180+K181+K188-K189+K182+K183+K184+K186+K185-K190+K187+K194</f>
        <v>-1321497</v>
      </c>
    </row>
    <row r="197" spans="1:11" x14ac:dyDescent="0.25">
      <c r="B197" s="51"/>
      <c r="C197" s="51"/>
      <c r="D197" s="51"/>
      <c r="E197" s="51"/>
      <c r="F197" s="51"/>
      <c r="G197" s="51"/>
      <c r="H197" s="51"/>
    </row>
    <row r="198" spans="1:11" x14ac:dyDescent="0.25">
      <c r="B198" s="51"/>
      <c r="C198" s="51"/>
      <c r="D198" s="51"/>
      <c r="E198" s="51"/>
      <c r="F198" s="51"/>
      <c r="G198" s="51"/>
      <c r="H198" s="51"/>
    </row>
    <row r="199" spans="1:11" x14ac:dyDescent="0.25">
      <c r="A199" s="49" t="s">
        <v>3511</v>
      </c>
      <c r="B199" s="51"/>
      <c r="C199" s="51"/>
      <c r="D199" s="51"/>
      <c r="E199" s="51"/>
      <c r="F199" s="51"/>
      <c r="G199" s="51"/>
      <c r="H199" s="51"/>
    </row>
    <row r="200" spans="1:11" x14ac:dyDescent="0.25">
      <c r="A200" s="49"/>
      <c r="B200" s="51"/>
      <c r="C200" s="51"/>
      <c r="D200" s="51"/>
      <c r="E200" s="51"/>
      <c r="F200" s="51"/>
      <c r="G200" s="51"/>
      <c r="H200" s="51"/>
    </row>
    <row r="201" spans="1:11" x14ac:dyDescent="0.25">
      <c r="A201" s="33" t="s">
        <v>3420</v>
      </c>
      <c r="B201" s="51">
        <v>7518078</v>
      </c>
      <c r="C201" s="51">
        <v>6930793</v>
      </c>
      <c r="D201" s="51">
        <v>8528568.4100000001</v>
      </c>
      <c r="E201" s="51">
        <v>9671250.4800000004</v>
      </c>
      <c r="F201" s="51"/>
      <c r="G201" s="51">
        <v>9671250.4800000004</v>
      </c>
      <c r="H201" s="51"/>
      <c r="I201" s="51">
        <v>0</v>
      </c>
      <c r="J201" s="51"/>
      <c r="K201" s="52">
        <f>G221</f>
        <v>0</v>
      </c>
    </row>
    <row r="202" spans="1:11" x14ac:dyDescent="0.25">
      <c r="B202" s="51"/>
      <c r="C202" s="51"/>
      <c r="D202" s="51"/>
      <c r="E202" s="51"/>
      <c r="F202" s="51"/>
      <c r="G202" s="51"/>
      <c r="H202" s="51"/>
    </row>
    <row r="203" spans="1:11" x14ac:dyDescent="0.25">
      <c r="A203" s="33" t="s">
        <v>3512</v>
      </c>
      <c r="B203" s="51"/>
      <c r="C203" s="51"/>
      <c r="D203" s="51"/>
      <c r="E203" s="51"/>
      <c r="F203" s="51"/>
      <c r="G203" s="51"/>
      <c r="H203" s="51"/>
    </row>
    <row r="204" spans="1:11" x14ac:dyDescent="0.25">
      <c r="A204" s="33" t="s">
        <v>3513</v>
      </c>
      <c r="B204" s="51">
        <f>'Impact Fee Fund'!C23</f>
        <v>1255284</v>
      </c>
      <c r="C204" s="51">
        <f>'Impact Fee Fund'!D23</f>
        <v>666434</v>
      </c>
      <c r="D204" s="51">
        <f>'Impact Fee Fund'!E23</f>
        <v>487554</v>
      </c>
      <c r="E204" s="51">
        <f>'Impact Fee Fund'!F23</f>
        <v>353203</v>
      </c>
      <c r="F204" s="51">
        <f>'Impact Fee Fund'!G23</f>
        <v>271908</v>
      </c>
      <c r="G204" s="51">
        <f>'Impact Fee Fund'!H23</f>
        <v>352000</v>
      </c>
      <c r="H204" s="51"/>
      <c r="I204" s="51">
        <f>'Impact Fee Fund'!J23</f>
        <v>345000</v>
      </c>
      <c r="J204" s="51">
        <f>'Impact Fee Fund'!K23</f>
        <v>0</v>
      </c>
      <c r="K204" s="51">
        <f>'Impact Fee Fund'!L23</f>
        <v>345000</v>
      </c>
    </row>
    <row r="205" spans="1:11" x14ac:dyDescent="0.25">
      <c r="A205" s="33" t="s">
        <v>3514</v>
      </c>
      <c r="B205" s="51">
        <f>'Impact Fee Fund'!C32</f>
        <v>968325</v>
      </c>
      <c r="C205" s="51">
        <f>'Impact Fee Fund'!D32</f>
        <v>584700</v>
      </c>
      <c r="D205" s="51">
        <f>'Impact Fee Fund'!E32</f>
        <v>404100</v>
      </c>
      <c r="E205" s="51">
        <f>'Impact Fee Fund'!F32</f>
        <v>308470</v>
      </c>
      <c r="F205" s="51">
        <f>'Impact Fee Fund'!G32</f>
        <v>242180</v>
      </c>
      <c r="G205" s="51">
        <f>'Impact Fee Fund'!H32</f>
        <v>319000</v>
      </c>
      <c r="H205" s="51"/>
      <c r="I205" s="51">
        <f>'Impact Fee Fund'!J32</f>
        <v>295000</v>
      </c>
      <c r="J205" s="51">
        <f>'Impact Fee Fund'!K32</f>
        <v>0</v>
      </c>
      <c r="K205" s="51">
        <f>'Impact Fee Fund'!L32</f>
        <v>295000</v>
      </c>
    </row>
    <row r="206" spans="1:11" x14ac:dyDescent="0.25">
      <c r="A206" s="33" t="s">
        <v>3515</v>
      </c>
      <c r="B206" s="51">
        <f>'Impact Fee Fund'!C14</f>
        <v>78201</v>
      </c>
      <c r="C206" s="51">
        <f>'Impact Fee Fund'!D14</f>
        <v>369812</v>
      </c>
      <c r="D206" s="51">
        <f>'Impact Fee Fund'!E14</f>
        <v>494705</v>
      </c>
      <c r="E206" s="51">
        <f>'Impact Fee Fund'!F14</f>
        <v>366083</v>
      </c>
      <c r="F206" s="51">
        <f>'Impact Fee Fund'!G14</f>
        <v>345008.36</v>
      </c>
      <c r="G206" s="51">
        <f>'Impact Fee Fund'!H14</f>
        <v>430000</v>
      </c>
      <c r="H206" s="51"/>
      <c r="I206" s="51">
        <f>'Impact Fee Fund'!J14</f>
        <v>415000</v>
      </c>
      <c r="J206" s="51">
        <f>'Impact Fee Fund'!K14</f>
        <v>0</v>
      </c>
      <c r="K206" s="51">
        <f>'Impact Fee Fund'!L14</f>
        <v>415000</v>
      </c>
    </row>
    <row r="207" spans="1:11" x14ac:dyDescent="0.25">
      <c r="A207" s="33" t="s">
        <v>3516</v>
      </c>
      <c r="B207" s="51">
        <f>'Impact Fee Fund'!C19</f>
        <v>0</v>
      </c>
      <c r="C207" s="51">
        <f>'Impact Fee Fund'!D19</f>
        <v>0</v>
      </c>
      <c r="D207" s="51">
        <f>'Impact Fee Fund'!E19</f>
        <v>0</v>
      </c>
      <c r="E207" s="51">
        <f>'Impact Fee Fund'!F19</f>
        <v>0</v>
      </c>
      <c r="F207" s="51">
        <f>'Impact Fee Fund'!G19</f>
        <v>0</v>
      </c>
      <c r="G207" s="51">
        <f>'Impact Fee Fund'!H19</f>
        <v>0</v>
      </c>
      <c r="H207" s="51"/>
      <c r="I207" s="51">
        <f>'Impact Fee Fund'!J19</f>
        <v>0</v>
      </c>
      <c r="J207" s="51">
        <f>'Impact Fee Fund'!K19</f>
        <v>0</v>
      </c>
      <c r="K207" s="51">
        <f>'Impact Fee Fund'!L19</f>
        <v>0</v>
      </c>
    </row>
    <row r="208" spans="1:11" x14ac:dyDescent="0.25">
      <c r="A208" s="33" t="s">
        <v>3517</v>
      </c>
      <c r="B208" s="51">
        <f>'Impact Fee Fund'!C28</f>
        <v>0</v>
      </c>
      <c r="C208" s="51">
        <f>'Impact Fee Fund'!D28</f>
        <v>0</v>
      </c>
      <c r="D208" s="51">
        <f>'Impact Fee Fund'!E28</f>
        <v>0</v>
      </c>
      <c r="E208" s="51">
        <f>'Impact Fee Fund'!F28</f>
        <v>0</v>
      </c>
      <c r="F208" s="51">
        <f>'Impact Fee Fund'!G28</f>
        <v>0</v>
      </c>
      <c r="G208" s="51">
        <f>'Impact Fee Fund'!H28</f>
        <v>0</v>
      </c>
      <c r="H208" s="51"/>
      <c r="I208" s="51">
        <f>'Impact Fee Fund'!J28</f>
        <v>0</v>
      </c>
      <c r="J208" s="51">
        <f>'Impact Fee Fund'!K28</f>
        <v>0</v>
      </c>
      <c r="K208" s="51">
        <f>'Impact Fee Fund'!L28</f>
        <v>0</v>
      </c>
    </row>
    <row r="209" spans="1:11" x14ac:dyDescent="0.25">
      <c r="A209" s="33" t="s">
        <v>3518</v>
      </c>
      <c r="B209" s="51">
        <v>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/>
      <c r="I209" s="48">
        <v>0</v>
      </c>
      <c r="J209" s="51">
        <v>0</v>
      </c>
      <c r="K209" s="63">
        <f>I209+J209</f>
        <v>0</v>
      </c>
    </row>
    <row r="210" spans="1:11" x14ac:dyDescent="0.25">
      <c r="A210" s="33" t="s">
        <v>3519</v>
      </c>
      <c r="B210" s="51">
        <v>0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/>
      <c r="I210" s="48">
        <v>0</v>
      </c>
      <c r="J210" s="51">
        <v>0</v>
      </c>
      <c r="K210" s="63">
        <f>I210+J210</f>
        <v>0</v>
      </c>
    </row>
    <row r="211" spans="1:11" x14ac:dyDescent="0.25">
      <c r="A211" s="33" t="s">
        <v>3520</v>
      </c>
      <c r="B211" s="51">
        <v>0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/>
      <c r="I211" s="48">
        <v>0</v>
      </c>
      <c r="J211" s="51">
        <v>0</v>
      </c>
      <c r="K211" s="63">
        <f>I211+J211</f>
        <v>0</v>
      </c>
    </row>
    <row r="212" spans="1:11" x14ac:dyDescent="0.25">
      <c r="A212" s="33" t="s">
        <v>3446</v>
      </c>
      <c r="B212" s="51">
        <v>0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/>
      <c r="I212" s="48">
        <v>0</v>
      </c>
      <c r="J212" s="51">
        <v>0</v>
      </c>
      <c r="K212" s="63">
        <f>I212+J212</f>
        <v>0</v>
      </c>
    </row>
    <row r="213" spans="1:11" x14ac:dyDescent="0.25">
      <c r="A213" s="33" t="s">
        <v>3519</v>
      </c>
      <c r="B213" s="51">
        <f>'Impact Fee Fund'!C70</f>
        <v>1686500</v>
      </c>
      <c r="C213" s="51">
        <f>'Impact Fee Fund'!D70</f>
        <v>0</v>
      </c>
      <c r="D213" s="51">
        <f>'Impact Fee Fund'!E70</f>
        <v>0</v>
      </c>
      <c r="E213" s="51">
        <f>'Impact Fee Fund'!F70</f>
        <v>0</v>
      </c>
      <c r="F213" s="51">
        <f>'Impact Fee Fund'!G70</f>
        <v>0</v>
      </c>
      <c r="G213" s="51">
        <f>'Impact Fee Fund'!H70</f>
        <v>0</v>
      </c>
      <c r="H213" s="51"/>
      <c r="I213" s="51">
        <f>'Impact Fee Fund'!J70</f>
        <v>3000000</v>
      </c>
      <c r="J213" s="51">
        <f>'Impact Fee Fund'!K70</f>
        <v>0</v>
      </c>
      <c r="K213" s="51">
        <f>'Impact Fee Fund'!L70</f>
        <v>3000000</v>
      </c>
    </row>
    <row r="214" spans="1:11" x14ac:dyDescent="0.25">
      <c r="A214" s="33" t="s">
        <v>3520</v>
      </c>
      <c r="B214" s="51">
        <f>'Impact Fee Fund'!C94</f>
        <v>9500</v>
      </c>
      <c r="C214" s="51">
        <f>'Impact Fee Fund'!D94</f>
        <v>0</v>
      </c>
      <c r="D214" s="51">
        <f>'Impact Fee Fund'!E94</f>
        <v>0</v>
      </c>
      <c r="E214" s="51">
        <f>'Impact Fee Fund'!F94</f>
        <v>0</v>
      </c>
      <c r="F214" s="51">
        <f>'Impact Fee Fund'!G94</f>
        <v>0</v>
      </c>
      <c r="G214" s="51">
        <f>'Impact Fee Fund'!H94</f>
        <v>0</v>
      </c>
      <c r="H214" s="51"/>
      <c r="I214" s="51">
        <f>'Impact Fee Fund'!J94</f>
        <v>0</v>
      </c>
      <c r="J214" s="51">
        <f>'Impact Fee Fund'!K94</f>
        <v>0</v>
      </c>
      <c r="K214" s="51">
        <f>'Impact Fee Fund'!L94</f>
        <v>0</v>
      </c>
    </row>
    <row r="215" spans="1:11" x14ac:dyDescent="0.25">
      <c r="A215" s="33" t="s">
        <v>3457</v>
      </c>
      <c r="B215" s="51">
        <f>('Impact Fee Fund'!C117)-('Impact Fee Fund'!C94+'Impact Fee Fund'!C70)</f>
        <v>1179821</v>
      </c>
      <c r="C215" s="51">
        <f>('Impact Fee Fund'!D117)-('Impact Fee Fund'!D94+'Impact Fee Fund'!D70)</f>
        <v>80000</v>
      </c>
      <c r="D215" s="51">
        <f>('Impact Fee Fund'!E117)-('Impact Fee Fund'!E94+'Impact Fee Fund'!E70)</f>
        <v>80000</v>
      </c>
      <c r="E215" s="51">
        <f>('Impact Fee Fund'!F117)-('Impact Fee Fund'!F94+'Impact Fee Fund'!F70)</f>
        <v>80000</v>
      </c>
      <c r="F215" s="51">
        <f>('Impact Fee Fund'!G117)-('Impact Fee Fund'!G94+'Impact Fee Fund'!G70)</f>
        <v>80000</v>
      </c>
      <c r="G215" s="51">
        <f>('Impact Fee Fund'!H117)-('Impact Fee Fund'!H94+'Impact Fee Fund'!H70)</f>
        <v>80000</v>
      </c>
      <c r="H215" s="51"/>
      <c r="I215" s="51">
        <f>('Impact Fee Fund'!J117)-('Impact Fee Fund'!J94+'Impact Fee Fund'!J70)</f>
        <v>80000</v>
      </c>
      <c r="J215" s="51">
        <f>('Impact Fee Fund'!K117)-('Impact Fee Fund'!K94+'Impact Fee Fund'!K70)</f>
        <v>0</v>
      </c>
      <c r="K215" s="51">
        <f>('Impact Fee Fund'!L117)-('Impact Fee Fund'!L94+'Impact Fee Fund'!L70)</f>
        <v>80000</v>
      </c>
    </row>
    <row r="216" spans="1:11" x14ac:dyDescent="0.25">
      <c r="B216" s="51"/>
      <c r="C216" s="51"/>
      <c r="D216" s="51"/>
      <c r="E216" s="51"/>
      <c r="F216" s="51"/>
      <c r="G216" s="51"/>
      <c r="H216" s="51"/>
    </row>
    <row r="217" spans="1:11" x14ac:dyDescent="0.25">
      <c r="A217" s="33" t="s">
        <v>3452</v>
      </c>
      <c r="B217" s="51">
        <f t="shared" ref="B217:G217" si="31">B204+B205+B206-B213-B214-B215</f>
        <v>-574011</v>
      </c>
      <c r="C217" s="51">
        <f t="shared" si="31"/>
        <v>1540946</v>
      </c>
      <c r="D217" s="51">
        <f t="shared" si="31"/>
        <v>1306359</v>
      </c>
      <c r="E217" s="51">
        <f t="shared" si="31"/>
        <v>947756</v>
      </c>
      <c r="F217" s="51">
        <f t="shared" si="31"/>
        <v>779096.36</v>
      </c>
      <c r="G217" s="51">
        <f t="shared" si="31"/>
        <v>1021000</v>
      </c>
      <c r="H217" s="51"/>
      <c r="I217" s="51">
        <f>I204+I205+I206-I213-I214-I215</f>
        <v>-2025000</v>
      </c>
      <c r="J217" s="51">
        <f>J204+J205+J206-J213-J214-J215</f>
        <v>0</v>
      </c>
      <c r="K217" s="51">
        <f>K204+K205+K206-K213-K214-K215</f>
        <v>-2025000</v>
      </c>
    </row>
    <row r="218" spans="1:11" x14ac:dyDescent="0.25">
      <c r="B218" s="51"/>
      <c r="C218" s="51"/>
      <c r="D218" s="51"/>
      <c r="E218" s="51"/>
      <c r="F218" s="51"/>
      <c r="G218" s="51"/>
      <c r="H218" s="51"/>
      <c r="I218" s="51"/>
      <c r="J218" s="51"/>
    </row>
    <row r="219" spans="1:11" x14ac:dyDescent="0.25">
      <c r="A219" s="55" t="s">
        <v>3453</v>
      </c>
      <c r="B219" s="51">
        <v>-13274</v>
      </c>
      <c r="C219" s="51">
        <v>56829</v>
      </c>
      <c r="D219" s="51">
        <v>-163677</v>
      </c>
      <c r="E219" s="51">
        <v>0</v>
      </c>
      <c r="F219" s="51">
        <v>0</v>
      </c>
      <c r="G219" s="51"/>
      <c r="H219" s="51"/>
      <c r="I219" s="51">
        <v>0</v>
      </c>
      <c r="J219" s="51">
        <v>0</v>
      </c>
      <c r="K219" s="52">
        <f>I219+J219</f>
        <v>0</v>
      </c>
    </row>
    <row r="220" spans="1:11" x14ac:dyDescent="0.25">
      <c r="B220" s="51"/>
      <c r="C220" s="51"/>
      <c r="D220" s="51"/>
      <c r="E220" s="51"/>
      <c r="F220" s="51"/>
      <c r="G220" s="51"/>
      <c r="H220" s="51"/>
    </row>
    <row r="221" spans="1:11" x14ac:dyDescent="0.25">
      <c r="A221" s="33" t="s">
        <v>3454</v>
      </c>
      <c r="B221" s="51">
        <f t="shared" ref="B221:F221" si="32">+B201+B204+B205+B206-B209-B213-B214-B215+B219+B207+B208</f>
        <v>6930793</v>
      </c>
      <c r="C221" s="51">
        <f t="shared" si="32"/>
        <v>8528568</v>
      </c>
      <c r="D221" s="51">
        <f t="shared" si="32"/>
        <v>9671250.4100000001</v>
      </c>
      <c r="E221" s="51">
        <f t="shared" si="32"/>
        <v>10619006.48</v>
      </c>
      <c r="F221" s="51">
        <f t="shared" si="32"/>
        <v>779096.36</v>
      </c>
      <c r="G221" s="51"/>
      <c r="H221" s="51"/>
      <c r="I221" s="51">
        <f>+I201+I204+I205+I206-I209-I213-I214-I215+I219+I207+I208</f>
        <v>-2025000</v>
      </c>
      <c r="J221" s="51">
        <f>+J201+J204+J205+J206-J209-J213-J214-J215+J219+J207+J208</f>
        <v>0</v>
      </c>
    </row>
    <row r="222" spans="1:11" x14ac:dyDescent="0.25">
      <c r="B222" s="51"/>
      <c r="C222" s="51"/>
      <c r="D222" s="51"/>
      <c r="E222" s="51"/>
      <c r="F222" s="51"/>
      <c r="G222" s="51"/>
      <c r="H222" s="51"/>
    </row>
    <row r="223" spans="1:11" x14ac:dyDescent="0.25">
      <c r="B223" s="51"/>
      <c r="C223" s="51"/>
      <c r="D223" s="51"/>
      <c r="E223" s="51"/>
      <c r="F223" s="51"/>
      <c r="G223" s="51"/>
      <c r="H223" s="51"/>
    </row>
    <row r="224" spans="1:11" x14ac:dyDescent="0.25">
      <c r="A224" s="60" t="s">
        <v>3521</v>
      </c>
      <c r="B224" s="51"/>
      <c r="C224" s="51"/>
      <c r="D224" s="51"/>
      <c r="E224" s="51"/>
      <c r="F224" s="51"/>
      <c r="G224" s="51"/>
      <c r="H224" s="51"/>
    </row>
    <row r="225" spans="1:11" x14ac:dyDescent="0.25">
      <c r="A225" s="49"/>
      <c r="B225" s="51"/>
      <c r="C225" s="51"/>
      <c r="D225" s="51"/>
      <c r="E225" s="51"/>
      <c r="F225" s="51"/>
      <c r="G225" s="51"/>
      <c r="H225" s="51"/>
    </row>
    <row r="226" spans="1:11" x14ac:dyDescent="0.25">
      <c r="A226" s="33" t="s">
        <v>3420</v>
      </c>
      <c r="B226" s="51">
        <v>437152</v>
      </c>
      <c r="C226" s="51">
        <v>459708</v>
      </c>
      <c r="D226" s="51">
        <v>585610</v>
      </c>
      <c r="E226" s="51">
        <v>692764</v>
      </c>
      <c r="F226" s="51">
        <v>0</v>
      </c>
      <c r="G226" s="51">
        <v>692764</v>
      </c>
      <c r="H226" s="51"/>
      <c r="I226" s="51">
        <v>0</v>
      </c>
      <c r="J226" s="51">
        <v>0</v>
      </c>
      <c r="K226" s="52">
        <f>G246</f>
        <v>683992</v>
      </c>
    </row>
    <row r="227" spans="1:11" x14ac:dyDescent="0.25">
      <c r="B227" s="51"/>
      <c r="C227" s="51"/>
      <c r="D227" s="51"/>
      <c r="E227" s="51"/>
      <c r="F227" s="51"/>
      <c r="G227" s="51"/>
      <c r="H227" s="51"/>
    </row>
    <row r="228" spans="1:11" x14ac:dyDescent="0.25">
      <c r="A228" s="33" t="s">
        <v>3421</v>
      </c>
      <c r="G228" s="51"/>
    </row>
    <row r="229" spans="1:11" x14ac:dyDescent="0.25">
      <c r="A229" s="33" t="s">
        <v>3522</v>
      </c>
      <c r="B229" s="51">
        <f>'Debt Service'!C42</f>
        <v>2695932</v>
      </c>
      <c r="C229" s="51">
        <f>'Debt Service'!D42</f>
        <v>2764673</v>
      </c>
      <c r="D229" s="51">
        <f>'Debt Service'!E42</f>
        <v>2727742</v>
      </c>
      <c r="E229" s="51">
        <f>'Debt Service'!F42</f>
        <v>4493771</v>
      </c>
      <c r="F229" s="51">
        <f>'Debt Service'!G42</f>
        <v>4471029.42</v>
      </c>
      <c r="G229" s="58">
        <f>'Debt Service'!H42</f>
        <v>4450000</v>
      </c>
      <c r="H229" s="51"/>
      <c r="I229" s="51">
        <f>'Debt Service'!J42</f>
        <v>4335281</v>
      </c>
      <c r="J229" s="51">
        <f>'Debt Service'!K42</f>
        <v>0</v>
      </c>
      <c r="K229" s="51">
        <f>'Debt Service'!L42</f>
        <v>4335281</v>
      </c>
    </row>
    <row r="230" spans="1:11" x14ac:dyDescent="0.25">
      <c r="A230" s="33" t="s">
        <v>3523</v>
      </c>
      <c r="B230" s="51">
        <v>0</v>
      </c>
      <c r="C230" s="51">
        <v>0</v>
      </c>
      <c r="D230" s="51">
        <v>0</v>
      </c>
      <c r="E230" s="51">
        <v>0</v>
      </c>
      <c r="F230" s="51">
        <v>0</v>
      </c>
      <c r="G230" s="58">
        <v>0</v>
      </c>
      <c r="H230" s="51"/>
      <c r="I230" s="51">
        <v>0</v>
      </c>
      <c r="J230" s="51">
        <v>0</v>
      </c>
      <c r="K230" s="52">
        <v>0</v>
      </c>
    </row>
    <row r="231" spans="1:11" x14ac:dyDescent="0.25">
      <c r="A231" s="33" t="s">
        <v>3524</v>
      </c>
      <c r="B231" s="51">
        <f>'Debt Service'!C27</f>
        <v>5903</v>
      </c>
      <c r="C231" s="51">
        <f>'Debt Service'!D27</f>
        <v>43585</v>
      </c>
      <c r="D231" s="51">
        <f>'Debt Service'!E27</f>
        <v>68084</v>
      </c>
      <c r="E231" s="51">
        <f>'Debt Service'!F27</f>
        <v>42377</v>
      </c>
      <c r="F231" s="51">
        <f>'Debt Service'!G27</f>
        <v>34742.46</v>
      </c>
      <c r="G231" s="58">
        <f>'Debt Service'!H27</f>
        <v>43000</v>
      </c>
      <c r="H231" s="51"/>
      <c r="I231" s="58">
        <f>'Debt Service'!J27</f>
        <v>40000</v>
      </c>
      <c r="J231" s="51">
        <f>'Debt Service'!K44</f>
        <v>0</v>
      </c>
      <c r="K231" s="51">
        <f>'Debt Service'!L44</f>
        <v>0</v>
      </c>
    </row>
    <row r="232" spans="1:11" x14ac:dyDescent="0.25">
      <c r="A232" s="33" t="s">
        <v>3525</v>
      </c>
      <c r="B232" s="51">
        <v>0</v>
      </c>
      <c r="C232" s="51">
        <v>0</v>
      </c>
      <c r="D232" s="51">
        <v>0</v>
      </c>
      <c r="E232" s="51">
        <v>0</v>
      </c>
      <c r="F232" s="51">
        <v>0</v>
      </c>
      <c r="G232" s="58">
        <v>0</v>
      </c>
      <c r="H232" s="51"/>
      <c r="I232" s="51">
        <v>0</v>
      </c>
      <c r="J232" s="51">
        <v>0</v>
      </c>
      <c r="K232" s="52">
        <v>0</v>
      </c>
    </row>
    <row r="233" spans="1:11" x14ac:dyDescent="0.25">
      <c r="A233" s="33" t="s">
        <v>3526</v>
      </c>
      <c r="B233" s="51">
        <v>0</v>
      </c>
      <c r="C233" s="51">
        <v>0</v>
      </c>
      <c r="D233" s="51">
        <v>0</v>
      </c>
      <c r="E233" s="51">
        <v>0</v>
      </c>
      <c r="F233" s="51">
        <v>0</v>
      </c>
      <c r="G233" s="58">
        <v>0</v>
      </c>
      <c r="H233" s="51"/>
      <c r="I233" s="48">
        <v>0</v>
      </c>
      <c r="J233" s="51">
        <v>0</v>
      </c>
      <c r="K233" s="52">
        <v>0</v>
      </c>
    </row>
    <row r="234" spans="1:11" x14ac:dyDescent="0.25">
      <c r="A234" s="33" t="s">
        <v>3527</v>
      </c>
      <c r="B234" s="51">
        <v>0</v>
      </c>
      <c r="C234" s="51">
        <v>0</v>
      </c>
      <c r="D234" s="51">
        <v>0</v>
      </c>
      <c r="E234" s="51">
        <v>0</v>
      </c>
      <c r="F234" s="51">
        <v>0</v>
      </c>
      <c r="G234" s="58">
        <v>0</v>
      </c>
      <c r="H234" s="51"/>
      <c r="I234" s="48">
        <v>0</v>
      </c>
      <c r="J234" s="51">
        <v>0</v>
      </c>
      <c r="K234" s="52">
        <v>0</v>
      </c>
    </row>
    <row r="235" spans="1:11" x14ac:dyDescent="0.25">
      <c r="A235" s="33" t="s">
        <v>3528</v>
      </c>
      <c r="B235" s="51">
        <v>0</v>
      </c>
      <c r="C235" s="51">
        <v>0</v>
      </c>
      <c r="D235" s="51">
        <v>0</v>
      </c>
      <c r="E235" s="51">
        <v>0</v>
      </c>
      <c r="F235" s="51">
        <v>0</v>
      </c>
      <c r="G235" s="58">
        <v>0</v>
      </c>
      <c r="H235" s="51"/>
      <c r="I235" s="48">
        <v>0</v>
      </c>
      <c r="J235" s="51">
        <v>0</v>
      </c>
      <c r="K235" s="52">
        <v>0</v>
      </c>
    </row>
    <row r="236" spans="1:11" x14ac:dyDescent="0.25">
      <c r="A236" s="33" t="s">
        <v>3529</v>
      </c>
      <c r="B236" s="51">
        <v>0</v>
      </c>
      <c r="C236" s="51">
        <v>0</v>
      </c>
      <c r="D236" s="51">
        <v>0</v>
      </c>
      <c r="E236" s="51">
        <v>0</v>
      </c>
      <c r="F236" s="51">
        <v>0</v>
      </c>
      <c r="G236" s="58">
        <v>0</v>
      </c>
      <c r="H236" s="51"/>
      <c r="I236" s="48">
        <v>0</v>
      </c>
      <c r="J236" s="51">
        <v>0</v>
      </c>
      <c r="K236" s="52">
        <v>0</v>
      </c>
    </row>
    <row r="237" spans="1:11" x14ac:dyDescent="0.25">
      <c r="A237" s="33" t="s">
        <v>3530</v>
      </c>
      <c r="B237" s="51">
        <v>0</v>
      </c>
      <c r="C237" s="51">
        <v>0</v>
      </c>
      <c r="D237" s="51">
        <v>0</v>
      </c>
      <c r="E237" s="51">
        <v>0</v>
      </c>
      <c r="F237" s="51">
        <v>0</v>
      </c>
      <c r="G237" s="58">
        <v>0</v>
      </c>
      <c r="H237" s="51"/>
      <c r="I237" s="48">
        <v>0</v>
      </c>
      <c r="J237" s="51">
        <v>0</v>
      </c>
      <c r="K237" s="52">
        <v>0</v>
      </c>
    </row>
    <row r="238" spans="1:11" x14ac:dyDescent="0.25">
      <c r="A238" s="33" t="s">
        <v>3531</v>
      </c>
      <c r="B238" s="51">
        <v>0</v>
      </c>
      <c r="C238" s="51">
        <v>0</v>
      </c>
      <c r="D238" s="51">
        <v>0</v>
      </c>
      <c r="E238" s="51">
        <v>0</v>
      </c>
      <c r="F238" s="51">
        <v>0</v>
      </c>
      <c r="G238" s="58">
        <v>0</v>
      </c>
      <c r="H238" s="51"/>
      <c r="I238" s="48">
        <v>0</v>
      </c>
      <c r="J238" s="51">
        <v>0</v>
      </c>
      <c r="K238" s="52">
        <v>0</v>
      </c>
    </row>
    <row r="239" spans="1:11" x14ac:dyDescent="0.25">
      <c r="A239" s="33" t="s">
        <v>3532</v>
      </c>
      <c r="B239" s="51">
        <v>0</v>
      </c>
      <c r="C239" s="51">
        <v>0</v>
      </c>
      <c r="D239" s="51">
        <v>0</v>
      </c>
      <c r="E239" s="51">
        <v>0</v>
      </c>
      <c r="F239" s="51">
        <v>0</v>
      </c>
      <c r="G239" s="58">
        <v>0</v>
      </c>
      <c r="H239" s="51"/>
      <c r="I239" s="48">
        <v>0</v>
      </c>
      <c r="J239" s="51">
        <v>0</v>
      </c>
      <c r="K239" s="52">
        <v>0</v>
      </c>
    </row>
    <row r="240" spans="1:11" x14ac:dyDescent="0.25">
      <c r="A240" s="33" t="s">
        <v>3457</v>
      </c>
      <c r="B240" s="51">
        <f>'Debt Service'!C132</f>
        <v>2679280</v>
      </c>
      <c r="C240" s="51">
        <f>'Debt Service'!D132</f>
        <v>2682358</v>
      </c>
      <c r="D240" s="51">
        <f>'Debt Service'!E132</f>
        <v>2688672</v>
      </c>
      <c r="E240" s="51">
        <f>'Debt Service'!F132</f>
        <v>4501772</v>
      </c>
      <c r="F240" s="51">
        <f>'Debt Service'!G132</f>
        <v>3450827.7199999997</v>
      </c>
      <c r="G240" s="58">
        <f>'Debt Service'!H132</f>
        <v>4501772</v>
      </c>
      <c r="H240" s="51"/>
      <c r="I240" s="51">
        <f>'Debt Service'!J132</f>
        <v>4335280.76</v>
      </c>
      <c r="J240" s="51">
        <f>'Debt Service'!K132</f>
        <v>0</v>
      </c>
      <c r="K240" s="51">
        <f>'Debt Service'!L132</f>
        <v>4335280.76</v>
      </c>
    </row>
    <row r="241" spans="1:11" x14ac:dyDescent="0.25">
      <c r="B241" s="51"/>
      <c r="C241" s="51"/>
      <c r="D241" s="51"/>
      <c r="E241" s="51"/>
      <c r="F241" s="51"/>
      <c r="H241" s="51"/>
    </row>
    <row r="242" spans="1:11" x14ac:dyDescent="0.25">
      <c r="A242" s="33" t="s">
        <v>3452</v>
      </c>
      <c r="B242" s="51">
        <f t="shared" ref="B242:K242" si="33">B238+B229+B231+B232+B233+B234+B235+B236+B239-B240+B237+B230</f>
        <v>22555</v>
      </c>
      <c r="C242" s="51">
        <f t="shared" si="33"/>
        <v>125900</v>
      </c>
      <c r="D242" s="51">
        <f t="shared" si="33"/>
        <v>107154</v>
      </c>
      <c r="E242" s="51">
        <f t="shared" si="33"/>
        <v>34376</v>
      </c>
      <c r="F242" s="51">
        <f t="shared" si="33"/>
        <v>1054944.1600000001</v>
      </c>
      <c r="G242" s="51">
        <f t="shared" si="33"/>
        <v>-8772</v>
      </c>
      <c r="H242" s="51"/>
      <c r="I242" s="51">
        <f t="shared" si="33"/>
        <v>40000.240000000224</v>
      </c>
      <c r="J242" s="51">
        <f t="shared" si="33"/>
        <v>0</v>
      </c>
      <c r="K242" s="51">
        <f t="shared" si="33"/>
        <v>0.24000000022351742</v>
      </c>
    </row>
    <row r="243" spans="1:11" x14ac:dyDescent="0.25">
      <c r="B243" s="51"/>
      <c r="C243" s="51"/>
      <c r="D243" s="51"/>
      <c r="E243" s="51"/>
      <c r="F243" s="51"/>
      <c r="G243" s="51"/>
      <c r="H243" s="51"/>
      <c r="I243" s="51"/>
      <c r="J243" s="51"/>
      <c r="K243" s="52"/>
    </row>
    <row r="244" spans="1:11" x14ac:dyDescent="0.25">
      <c r="A244" s="55" t="s">
        <v>3453</v>
      </c>
      <c r="B244" s="51">
        <v>1</v>
      </c>
      <c r="C244" s="51">
        <v>2</v>
      </c>
      <c r="D244" s="51">
        <v>0</v>
      </c>
      <c r="E244" s="51">
        <v>0</v>
      </c>
      <c r="F244" s="51">
        <v>0</v>
      </c>
      <c r="G244" s="51">
        <v>0</v>
      </c>
      <c r="H244" s="51"/>
      <c r="I244" s="51">
        <v>0</v>
      </c>
      <c r="J244" s="51">
        <v>0</v>
      </c>
      <c r="K244" s="52">
        <f>I244+J244</f>
        <v>0</v>
      </c>
    </row>
    <row r="245" spans="1:11" x14ac:dyDescent="0.25">
      <c r="B245" s="51"/>
      <c r="C245" s="51"/>
      <c r="D245" s="51"/>
      <c r="E245" s="51"/>
      <c r="F245" s="51"/>
      <c r="G245" s="51"/>
      <c r="H245" s="51"/>
    </row>
    <row r="246" spans="1:11" x14ac:dyDescent="0.25">
      <c r="A246" s="33" t="s">
        <v>3454</v>
      </c>
      <c r="B246" s="51">
        <f t="shared" ref="B246:G246" si="34">+B226+B229+B231+B235+B236-B240+B232+B234+B244+B230</f>
        <v>459708</v>
      </c>
      <c r="C246" s="51">
        <f t="shared" si="34"/>
        <v>585610</v>
      </c>
      <c r="D246" s="51">
        <f t="shared" si="34"/>
        <v>692764</v>
      </c>
      <c r="E246" s="51">
        <f t="shared" si="34"/>
        <v>727140</v>
      </c>
      <c r="F246" s="51">
        <f t="shared" si="34"/>
        <v>1054944.1600000001</v>
      </c>
      <c r="G246" s="51">
        <f t="shared" si="34"/>
        <v>683992</v>
      </c>
      <c r="H246" s="51"/>
      <c r="I246" s="51">
        <f>+I226+I229+I231+I235+I236-I240+I232+I234+I244+I230</f>
        <v>40000.240000000224</v>
      </c>
      <c r="J246" s="51">
        <f>+J226+J229+J231+J235+J236-J240+J232+J234+J244+J230</f>
        <v>0</v>
      </c>
      <c r="K246" s="52">
        <f>I246+J246</f>
        <v>40000.240000000224</v>
      </c>
    </row>
    <row r="247" spans="1:11" x14ac:dyDescent="0.25">
      <c r="B247" s="51"/>
      <c r="C247" s="51"/>
      <c r="D247" s="51"/>
      <c r="E247" s="51"/>
      <c r="F247" s="51"/>
      <c r="G247" s="51"/>
      <c r="H247" s="51"/>
    </row>
    <row r="248" spans="1:11" x14ac:dyDescent="0.25">
      <c r="B248" s="51"/>
      <c r="C248" s="51"/>
      <c r="D248" s="51"/>
      <c r="E248" s="51"/>
      <c r="F248" s="51"/>
      <c r="G248" s="51"/>
      <c r="H248" s="51"/>
    </row>
    <row r="249" spans="1:11" x14ac:dyDescent="0.25">
      <c r="A249" s="49" t="s">
        <v>3533</v>
      </c>
      <c r="B249" s="51"/>
      <c r="C249" s="51"/>
      <c r="D249" s="51"/>
      <c r="E249" s="51"/>
      <c r="F249" s="51"/>
      <c r="G249" s="51"/>
      <c r="H249" s="51"/>
    </row>
    <row r="250" spans="1:11" x14ac:dyDescent="0.25">
      <c r="A250" s="49"/>
      <c r="B250" s="51"/>
      <c r="C250" s="51"/>
      <c r="D250" s="51"/>
      <c r="E250" s="51"/>
      <c r="F250" s="51"/>
      <c r="G250" s="51"/>
      <c r="H250" s="51"/>
    </row>
    <row r="251" spans="1:11" x14ac:dyDescent="0.25">
      <c r="A251" s="33" t="s">
        <v>3420</v>
      </c>
      <c r="B251" s="51">
        <v>652537</v>
      </c>
      <c r="C251" s="51">
        <v>657625</v>
      </c>
      <c r="D251" s="51">
        <v>686399.88</v>
      </c>
      <c r="E251" s="51">
        <v>723623.18</v>
      </c>
      <c r="F251" s="51">
        <v>0</v>
      </c>
      <c r="G251" s="51">
        <v>723623.18</v>
      </c>
      <c r="H251" s="51"/>
      <c r="I251" s="51">
        <v>0</v>
      </c>
      <c r="J251" s="51">
        <v>0</v>
      </c>
      <c r="K251" s="52">
        <f>G262</f>
        <v>753623.18</v>
      </c>
    </row>
    <row r="252" spans="1:11" x14ac:dyDescent="0.25">
      <c r="B252" s="51"/>
      <c r="C252" s="51"/>
      <c r="D252" s="51"/>
      <c r="E252" s="51"/>
      <c r="F252" s="51"/>
      <c r="G252" s="64"/>
      <c r="H252" s="51"/>
    </row>
    <row r="253" spans="1:11" x14ac:dyDescent="0.25">
      <c r="A253" s="33" t="s">
        <v>3421</v>
      </c>
      <c r="B253" s="51">
        <f>'Park Fund'!C11+'Park Fund'!C12+'Park Fund'!C13</f>
        <v>0</v>
      </c>
      <c r="C253" s="51">
        <f>'Park Fund'!D11+'Park Fund'!D12+'Park Fund'!D13</f>
        <v>0</v>
      </c>
      <c r="D253" s="51">
        <f>'Park Fund'!E11+'Park Fund'!E12+'Park Fund'!E13</f>
        <v>0</v>
      </c>
      <c r="E253" s="51">
        <f>'Park Fund'!F11+'Park Fund'!F12+'Park Fund'!F13</f>
        <v>0</v>
      </c>
      <c r="F253" s="51">
        <f>'Park Fund'!G11+'Park Fund'!G12+'Park Fund'!G13</f>
        <v>0</v>
      </c>
      <c r="G253" s="51">
        <f>'Park Fund'!H11+'Park Fund'!H12+'Park Fund'!H13</f>
        <v>0</v>
      </c>
      <c r="H253" s="51"/>
      <c r="I253" s="51">
        <f>'Park Fund'!J11+'Park Fund'!J12+'Park Fund'!J13</f>
        <v>0</v>
      </c>
      <c r="J253" s="51">
        <f>'Park Fund'!K11+'Park Fund'!K12+'Park Fund'!K13</f>
        <v>0</v>
      </c>
      <c r="K253" s="51">
        <f>'Park Fund'!L11+'Park Fund'!L12+'Park Fund'!L13</f>
        <v>0</v>
      </c>
    </row>
    <row r="254" spans="1:11" x14ac:dyDescent="0.25">
      <c r="A254" s="33" t="s">
        <v>3534</v>
      </c>
      <c r="B254" s="51">
        <v>0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/>
      <c r="I254" s="51">
        <v>0</v>
      </c>
      <c r="J254" s="51">
        <v>0</v>
      </c>
      <c r="K254" s="51">
        <f>I254+J254</f>
        <v>0</v>
      </c>
    </row>
    <row r="255" spans="1:11" x14ac:dyDescent="0.25">
      <c r="A255" s="33" t="s">
        <v>3535</v>
      </c>
      <c r="B255" s="51">
        <f>'Park Fund'!C10</f>
        <v>5088</v>
      </c>
      <c r="C255" s="51">
        <f>'Park Fund'!D10</f>
        <v>31925</v>
      </c>
      <c r="D255" s="51">
        <f>'Park Fund'!E10</f>
        <v>38458</v>
      </c>
      <c r="E255" s="51">
        <f>'Park Fund'!F10</f>
        <v>28802</v>
      </c>
      <c r="F255" s="51">
        <f>'Park Fund'!G10</f>
        <v>24805.53</v>
      </c>
      <c r="G255" s="51">
        <f>'Park Fund'!H10</f>
        <v>30000</v>
      </c>
      <c r="H255" s="51"/>
      <c r="I255" s="51">
        <f>'Park Fund'!J10</f>
        <v>29000</v>
      </c>
      <c r="J255" s="51">
        <f>'Park Fund'!K10</f>
        <v>0</v>
      </c>
      <c r="K255" s="51">
        <f>'Park Fund'!L10</f>
        <v>29000</v>
      </c>
    </row>
    <row r="256" spans="1:11" x14ac:dyDescent="0.25">
      <c r="A256" s="33" t="s">
        <v>3457</v>
      </c>
      <c r="B256" s="51">
        <f>'Park Fund'!C57</f>
        <v>0</v>
      </c>
      <c r="C256" s="51">
        <f>'Park Fund'!D57</f>
        <v>3150</v>
      </c>
      <c r="D256" s="51">
        <f>'Park Fund'!E57</f>
        <v>1235</v>
      </c>
      <c r="E256" s="51">
        <f>'Park Fund'!F57</f>
        <v>0</v>
      </c>
      <c r="F256" s="51">
        <f>'Park Fund'!G57</f>
        <v>0</v>
      </c>
      <c r="G256" s="51">
        <f>'Park Fund'!H57</f>
        <v>0</v>
      </c>
      <c r="H256" s="51"/>
      <c r="I256" s="51">
        <f>'Park Fund'!J57</f>
        <v>0</v>
      </c>
      <c r="J256" s="51">
        <f>'Park Fund'!K57</f>
        <v>0</v>
      </c>
      <c r="K256" s="51">
        <f>'Park Fund'!L57</f>
        <v>0</v>
      </c>
    </row>
    <row r="257" spans="1:11" x14ac:dyDescent="0.25">
      <c r="B257" s="51"/>
      <c r="C257" s="51"/>
      <c r="D257" s="51"/>
      <c r="E257" s="51"/>
      <c r="F257" s="51"/>
      <c r="G257" s="51"/>
      <c r="H257" s="51"/>
    </row>
    <row r="258" spans="1:11" x14ac:dyDescent="0.25">
      <c r="A258" s="33" t="s">
        <v>3452</v>
      </c>
      <c r="B258" s="51">
        <f t="shared" ref="B258:G258" si="35">B253+B254+B255-B256</f>
        <v>5088</v>
      </c>
      <c r="C258" s="51">
        <f t="shared" si="35"/>
        <v>28775</v>
      </c>
      <c r="D258" s="51">
        <f t="shared" si="35"/>
        <v>37223</v>
      </c>
      <c r="E258" s="51">
        <f t="shared" si="35"/>
        <v>28802</v>
      </c>
      <c r="F258" s="51">
        <f t="shared" si="35"/>
        <v>24805.53</v>
      </c>
      <c r="G258" s="51">
        <f t="shared" si="35"/>
        <v>30000</v>
      </c>
      <c r="H258" s="51"/>
      <c r="I258" s="51">
        <f>I253+I254+I255-I256</f>
        <v>29000</v>
      </c>
      <c r="J258" s="51">
        <f>J253+J254+J255-J256</f>
        <v>0</v>
      </c>
      <c r="K258" s="51">
        <f>K253+K254+K255-K256</f>
        <v>29000</v>
      </c>
    </row>
    <row r="259" spans="1:11" x14ac:dyDescent="0.25">
      <c r="B259" s="51"/>
      <c r="C259" s="51"/>
      <c r="D259" s="51"/>
      <c r="E259" s="51"/>
      <c r="F259" s="51"/>
      <c r="G259" s="51"/>
      <c r="H259" s="51"/>
      <c r="I259" s="51"/>
      <c r="J259" s="51"/>
    </row>
    <row r="260" spans="1:11" x14ac:dyDescent="0.25">
      <c r="A260" s="55" t="s">
        <v>3453</v>
      </c>
      <c r="B260" s="51">
        <v>0</v>
      </c>
      <c r="C260" s="51">
        <v>0</v>
      </c>
      <c r="D260" s="51">
        <v>0</v>
      </c>
      <c r="E260" s="51">
        <v>0</v>
      </c>
      <c r="F260" s="51">
        <v>0</v>
      </c>
      <c r="G260" s="51"/>
      <c r="H260" s="51"/>
      <c r="I260" s="51">
        <v>0</v>
      </c>
      <c r="J260" s="51">
        <v>0</v>
      </c>
      <c r="K260" s="52">
        <f>I260+J260</f>
        <v>0</v>
      </c>
    </row>
    <row r="261" spans="1:11" x14ac:dyDescent="0.25">
      <c r="B261" s="51"/>
      <c r="C261" s="51"/>
      <c r="D261" s="51"/>
      <c r="E261" s="51"/>
      <c r="F261" s="51"/>
      <c r="G261" s="51"/>
      <c r="H261" s="51"/>
    </row>
    <row r="262" spans="1:11" x14ac:dyDescent="0.25">
      <c r="A262" s="33" t="s">
        <v>3454</v>
      </c>
      <c r="B262" s="51">
        <f t="shared" ref="B262:K262" si="36">+B251+B253+B255-B256+B254+B260</f>
        <v>657625</v>
      </c>
      <c r="C262" s="51">
        <f t="shared" si="36"/>
        <v>686400</v>
      </c>
      <c r="D262" s="51">
        <f t="shared" si="36"/>
        <v>723622.88</v>
      </c>
      <c r="E262" s="51">
        <f t="shared" si="36"/>
        <v>752425.18</v>
      </c>
      <c r="F262" s="51">
        <f t="shared" si="36"/>
        <v>24805.53</v>
      </c>
      <c r="G262" s="51">
        <f t="shared" si="36"/>
        <v>753623.18</v>
      </c>
      <c r="H262" s="51"/>
      <c r="I262" s="51">
        <f t="shared" si="36"/>
        <v>29000</v>
      </c>
      <c r="J262" s="51">
        <f t="shared" si="36"/>
        <v>0</v>
      </c>
      <c r="K262" s="51">
        <f t="shared" si="36"/>
        <v>782623.18</v>
      </c>
    </row>
    <row r="263" spans="1:11" x14ac:dyDescent="0.25">
      <c r="B263" s="51"/>
      <c r="C263" s="51"/>
      <c r="D263" s="51"/>
      <c r="E263" s="51"/>
      <c r="F263" s="51"/>
      <c r="G263" s="51"/>
      <c r="H263" s="51"/>
    </row>
    <row r="264" spans="1:11" x14ac:dyDescent="0.25">
      <c r="A264" s="61" t="s">
        <v>3536</v>
      </c>
      <c r="B264" s="51">
        <f t="shared" ref="B264:G264" si="37">+B16+B63+B64+B78+B106+B162+B180+B203+B206+B229+B231+B234+B253+B255+B164+B18+B235+B163+B233+B83+B232+B239+B204+B205+B188+B181+B238+B236+B237+B182+B183+B184+B186+B254+B207+B208+B185+B165+B187+B230</f>
        <v>33207447</v>
      </c>
      <c r="C264" s="51">
        <f t="shared" si="37"/>
        <v>32059965</v>
      </c>
      <c r="D264" s="51">
        <f t="shared" si="37"/>
        <v>60354157</v>
      </c>
      <c r="E264" s="51">
        <f t="shared" si="37"/>
        <v>36220335</v>
      </c>
      <c r="F264" s="51">
        <f t="shared" si="37"/>
        <v>27989485.450000007</v>
      </c>
      <c r="G264" s="51">
        <f t="shared" si="37"/>
        <v>33144120</v>
      </c>
      <c r="H264" s="51"/>
      <c r="I264" s="51">
        <f>+I16+I63+I64+I78+I106+I162+I180+I203+I206+I229+I231+I234+I253+I255+I164+I18+I235+I163+I233+I83+I232+I239+I204+I205+I188+I181+I238+I236+I237+I182+I183+I184+I186+I254+I207+I208+I185+I165+I187+I230</f>
        <v>33026477</v>
      </c>
      <c r="J264" s="51">
        <f>+J16+J63+J64+J78+J106+J162+J180+J203+J206+J229+J231+J234+J253+J255+J164+J18+J235+J163+J233+J83+J232+J239+J204+J205+J188+J181+J238+J236+J237+J182+J183+J184+J186+J254+J207+J208+J185+J165+J187+J230</f>
        <v>0</v>
      </c>
      <c r="K264" s="51">
        <f>+K16+K63+K64+K78+K106+K162+K180+K203+K206+K229+K231+K234+K253+K255+K164+K18+K235+K163+K233+K83+K232+K239+K204+K205+K188+K181+K238+K236+K237+K182+K183+K184+K186+K254+K207+K208+K185+K165+K187+K230</f>
        <v>38356477</v>
      </c>
    </row>
    <row r="265" spans="1:11" x14ac:dyDescent="0.25">
      <c r="A265" s="61" t="s">
        <v>3537</v>
      </c>
      <c r="B265" s="51">
        <f t="shared" ref="B265:G265" si="38">B50+B65+B132+B93+B240+B189+B167+B215+B256+B209+B190+B213+B214</f>
        <v>27068822</v>
      </c>
      <c r="C265" s="51">
        <f t="shared" si="38"/>
        <v>23663695</v>
      </c>
      <c r="D265" s="51">
        <f t="shared" si="38"/>
        <v>27037542</v>
      </c>
      <c r="E265" s="51">
        <f t="shared" si="38"/>
        <v>35843722</v>
      </c>
      <c r="F265" s="51">
        <f t="shared" si="38"/>
        <v>30798933.190000001</v>
      </c>
      <c r="G265" s="51">
        <f t="shared" si="38"/>
        <v>36451448.840000004</v>
      </c>
      <c r="H265" s="51"/>
      <c r="I265" s="51">
        <f>I50+I65+I132+I93+I240+I189+I167+I215+I256+I209+I190+I213+I214</f>
        <v>45332277.230999999</v>
      </c>
      <c r="J265" s="51">
        <f>J50+J65+J132+J93+J240+J189+J167+J215+J256+J209+J190+J213+J214</f>
        <v>1888750</v>
      </c>
      <c r="K265" s="51">
        <f>K50+K65+K132+K93+K240+K189+K167+K215+K256+K209+K190+K213+K214</f>
        <v>46887927.230999999</v>
      </c>
    </row>
    <row r="266" spans="1:11" x14ac:dyDescent="0.25">
      <c r="A266" s="61" t="s">
        <v>3538</v>
      </c>
      <c r="B266" s="51">
        <f t="shared" ref="B266:K266" si="39">+B264-B265</f>
        <v>6138625</v>
      </c>
      <c r="C266" s="51">
        <f t="shared" si="39"/>
        <v>8396270</v>
      </c>
      <c r="D266" s="51">
        <f t="shared" si="39"/>
        <v>33316615</v>
      </c>
      <c r="E266" s="51">
        <f t="shared" si="39"/>
        <v>376613</v>
      </c>
      <c r="F266" s="51">
        <f t="shared" si="39"/>
        <v>-2809447.7399999946</v>
      </c>
      <c r="G266" s="51">
        <f t="shared" si="39"/>
        <v>-3307328.8400000036</v>
      </c>
      <c r="H266" s="51"/>
      <c r="I266" s="51">
        <f t="shared" si="39"/>
        <v>-12305800.230999999</v>
      </c>
      <c r="J266" s="51">
        <f t="shared" si="39"/>
        <v>-1888750</v>
      </c>
      <c r="K266" s="51">
        <f t="shared" si="39"/>
        <v>-8531450.2309999987</v>
      </c>
    </row>
    <row r="267" spans="1:11" x14ac:dyDescent="0.25">
      <c r="A267" s="61"/>
      <c r="G267" s="51"/>
    </row>
    <row r="268" spans="1:11" x14ac:dyDescent="0.25">
      <c r="A268" s="61" t="s">
        <v>3539</v>
      </c>
      <c r="B268" s="51">
        <f t="shared" ref="B268:G268" si="40">+B52+B67+B95+B134+B169+B192+B217+B242+B258</f>
        <v>6138625</v>
      </c>
      <c r="C268" s="51">
        <f t="shared" si="40"/>
        <v>8396270</v>
      </c>
      <c r="D268" s="51">
        <f t="shared" si="40"/>
        <v>33316615</v>
      </c>
      <c r="E268" s="51">
        <f t="shared" si="40"/>
        <v>376613</v>
      </c>
      <c r="F268" s="51">
        <f t="shared" si="40"/>
        <v>-2809447.74</v>
      </c>
      <c r="G268" s="51">
        <f t="shared" si="40"/>
        <v>-561811.41000000015</v>
      </c>
      <c r="H268" s="51"/>
      <c r="I268" s="51">
        <f>+I52+I67+I95+I134+I169+I192+I217+I242+I258</f>
        <v>-12305800.231000001</v>
      </c>
      <c r="J268" s="51">
        <f>+J52+J67+J95+J134+J169+J192+J217+J242+J258</f>
        <v>-1888750</v>
      </c>
      <c r="K268" s="51">
        <f>+K52+K67+K95+K134+K169+K192+K217+K242+K258</f>
        <v>-8681450.2310000006</v>
      </c>
    </row>
    <row r="282" spans="2:7" x14ac:dyDescent="0.25">
      <c r="B282" s="51"/>
      <c r="E282" s="51"/>
      <c r="F282" s="51"/>
      <c r="G282" s="51"/>
    </row>
    <row r="283" spans="2:7" x14ac:dyDescent="0.25">
      <c r="B283" s="51"/>
      <c r="E283" s="51"/>
      <c r="F283" s="51"/>
      <c r="G283" s="51"/>
    </row>
    <row r="284" spans="2:7" x14ac:dyDescent="0.25">
      <c r="B284" s="51"/>
      <c r="E284" s="51"/>
      <c r="F284" s="51"/>
      <c r="G284" s="51"/>
    </row>
    <row r="285" spans="2:7" x14ac:dyDescent="0.25">
      <c r="B285" s="51"/>
      <c r="E285" s="51"/>
      <c r="F285" s="51"/>
      <c r="G285" s="51"/>
    </row>
    <row r="286" spans="2:7" x14ac:dyDescent="0.25">
      <c r="B286" s="51"/>
      <c r="E286" s="51"/>
      <c r="F286" s="51"/>
      <c r="G286" s="51"/>
    </row>
    <row r="287" spans="2:7" x14ac:dyDescent="0.25">
      <c r="B287" s="51"/>
      <c r="E287" s="51"/>
      <c r="F287" s="51"/>
      <c r="G287" s="51"/>
    </row>
    <row r="288" spans="2:7" x14ac:dyDescent="0.25">
      <c r="B288" s="51"/>
      <c r="E288" s="51"/>
      <c r="F288" s="51"/>
      <c r="G288" s="51"/>
    </row>
  </sheetData>
  <sheetProtection algorithmName="SHA-512" hashValue="O8IFDNaDT/TP1mOhksEXlrWcR+OIr25qt8tNSfWr7doSpm3/M+Vua3Sp2deC/wh1I2hyTfnlG7fOpDyixN7dIQ==" saltValue="8xRNf/P9Tqu5hz8yj9f0S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6584D-C400-4706-A267-90BFE14957B9}">
  <sheetPr>
    <pageSetUpPr fitToPage="1"/>
  </sheetPr>
  <dimension ref="A1:L241"/>
  <sheetViews>
    <sheetView zoomScaleNormal="100" workbookViewId="0">
      <pane ySplit="7" topLeftCell="A8" activePane="bottomLeft" state="frozen"/>
      <selection pane="bottomLeft" activeCell="J56" sqref="J56"/>
    </sheetView>
  </sheetViews>
  <sheetFormatPr defaultRowHeight="15" x14ac:dyDescent="0.25"/>
  <cols>
    <col min="1" max="1" width="10.140625" customWidth="1"/>
    <col min="2" max="2" width="34.28515625" bestFit="1" customWidth="1"/>
    <col min="3" max="7" width="15.28515625" bestFit="1" customWidth="1"/>
    <col min="8" max="8" width="13.28515625" bestFit="1" customWidth="1"/>
    <col min="9" max="9" width="10.7109375" customWidth="1"/>
    <col min="10" max="10" width="13.28515625" bestFit="1" customWidth="1"/>
    <col min="11" max="11" width="14.7109375" bestFit="1" customWidth="1"/>
    <col min="12" max="12" width="14.140625" bestFit="1" customWidth="1"/>
  </cols>
  <sheetData>
    <row r="1" spans="1:12" x14ac:dyDescent="0.25">
      <c r="A1" t="s">
        <v>0</v>
      </c>
    </row>
    <row r="2" spans="1:12" x14ac:dyDescent="0.25">
      <c r="A2" t="s">
        <v>1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3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2" x14ac:dyDescent="0.25">
      <c r="A8" t="s">
        <v>25</v>
      </c>
    </row>
    <row r="9" spans="1:12" x14ac:dyDescent="0.25">
      <c r="A9" t="s">
        <v>18</v>
      </c>
      <c r="B9" t="s">
        <v>26</v>
      </c>
      <c r="C9" s="22"/>
      <c r="D9" s="22"/>
      <c r="E9" s="22"/>
      <c r="F9" s="22"/>
      <c r="G9" s="22"/>
      <c r="H9" s="22"/>
      <c r="I9" s="22"/>
      <c r="J9" s="27"/>
      <c r="K9" s="22"/>
      <c r="L9" s="22"/>
    </row>
    <row r="10" spans="1:12" x14ac:dyDescent="0.25">
      <c r="A10" t="s">
        <v>27</v>
      </c>
      <c r="B10" t="s">
        <v>28</v>
      </c>
      <c r="C10" s="22">
        <v>5091424</v>
      </c>
      <c r="D10" s="22">
        <v>6125152</v>
      </c>
      <c r="E10" s="22">
        <v>7091344</v>
      </c>
      <c r="F10" s="22">
        <v>5877065</v>
      </c>
      <c r="G10" s="22">
        <v>5842763.9500000002</v>
      </c>
      <c r="H10" s="21">
        <v>5900000</v>
      </c>
      <c r="I10" s="21"/>
      <c r="J10" s="24">
        <v>6100000</v>
      </c>
      <c r="K10" s="21">
        <v>0</v>
      </c>
      <c r="L10" s="22">
        <f>SUM(J10+K10)</f>
        <v>6100000</v>
      </c>
    </row>
    <row r="11" spans="1:12" x14ac:dyDescent="0.25">
      <c r="A11" t="s">
        <v>29</v>
      </c>
      <c r="B11" t="s">
        <v>3540</v>
      </c>
      <c r="C11" s="22">
        <v>45102</v>
      </c>
      <c r="D11" s="22">
        <v>54443</v>
      </c>
      <c r="E11" s="22">
        <v>0</v>
      </c>
      <c r="F11" s="22">
        <v>0</v>
      </c>
      <c r="G11" s="22">
        <v>0</v>
      </c>
      <c r="H11" s="21">
        <v>0</v>
      </c>
      <c r="I11" s="21"/>
      <c r="J11" s="24">
        <v>0</v>
      </c>
      <c r="K11" s="21">
        <v>0</v>
      </c>
      <c r="L11" s="22">
        <f t="shared" ref="L11:L51" si="0">SUM(J11+K11)</f>
        <v>0</v>
      </c>
    </row>
    <row r="12" spans="1:12" x14ac:dyDescent="0.25">
      <c r="A12" t="s">
        <v>31</v>
      </c>
      <c r="B12" t="s">
        <v>32</v>
      </c>
      <c r="C12" s="22">
        <v>1060063</v>
      </c>
      <c r="D12" s="22">
        <v>1141045</v>
      </c>
      <c r="E12" s="22">
        <v>1185700</v>
      </c>
      <c r="F12" s="22">
        <v>1177854</v>
      </c>
      <c r="G12" s="22">
        <v>892976.36</v>
      </c>
      <c r="H12" s="21">
        <v>1125000</v>
      </c>
      <c r="I12" s="21"/>
      <c r="J12" s="24">
        <v>1100000</v>
      </c>
      <c r="K12" s="21">
        <v>0</v>
      </c>
      <c r="L12" s="22">
        <f t="shared" si="0"/>
        <v>1100000</v>
      </c>
    </row>
    <row r="13" spans="1:12" x14ac:dyDescent="0.25">
      <c r="A13" t="s">
        <v>33</v>
      </c>
      <c r="B13" t="s">
        <v>34</v>
      </c>
      <c r="C13" s="22">
        <v>2569</v>
      </c>
      <c r="D13" s="22">
        <v>47731</v>
      </c>
      <c r="E13" s="22">
        <v>57591</v>
      </c>
      <c r="F13" s="22">
        <v>43118</v>
      </c>
      <c r="G13" s="22">
        <v>37826.39</v>
      </c>
      <c r="H13" s="21">
        <v>48000</v>
      </c>
      <c r="I13" s="21"/>
      <c r="J13" s="24">
        <v>45000</v>
      </c>
      <c r="K13" s="21">
        <v>0</v>
      </c>
      <c r="L13" s="22">
        <f t="shared" si="0"/>
        <v>45000</v>
      </c>
    </row>
    <row r="14" spans="1:12" x14ac:dyDescent="0.25">
      <c r="A14" t="s">
        <v>35</v>
      </c>
      <c r="B14" t="s">
        <v>36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1">
        <v>0</v>
      </c>
      <c r="I14" s="21"/>
      <c r="J14" s="21">
        <v>0</v>
      </c>
      <c r="K14" s="21">
        <v>0</v>
      </c>
      <c r="L14" s="22">
        <f t="shared" si="0"/>
        <v>0</v>
      </c>
    </row>
    <row r="15" spans="1:12" x14ac:dyDescent="0.25">
      <c r="A15" t="s">
        <v>37</v>
      </c>
      <c r="B15" t="s">
        <v>38</v>
      </c>
      <c r="C15" s="22">
        <v>20864</v>
      </c>
      <c r="D15" s="22">
        <v>205018</v>
      </c>
      <c r="E15" s="22">
        <v>330939</v>
      </c>
      <c r="F15" s="22">
        <v>229528</v>
      </c>
      <c r="G15" s="22">
        <v>249490.01</v>
      </c>
      <c r="H15" s="21">
        <v>276000</v>
      </c>
      <c r="I15" s="21"/>
      <c r="J15" s="21">
        <v>260000</v>
      </c>
      <c r="K15" s="21">
        <v>0</v>
      </c>
      <c r="L15" s="22">
        <f t="shared" si="0"/>
        <v>260000</v>
      </c>
    </row>
    <row r="16" spans="1:12" x14ac:dyDescent="0.25">
      <c r="A16" t="s">
        <v>39</v>
      </c>
      <c r="B16" t="s">
        <v>40</v>
      </c>
      <c r="C16" s="22">
        <v>7965</v>
      </c>
      <c r="D16" s="22">
        <v>50020</v>
      </c>
      <c r="E16" s="22">
        <v>58905</v>
      </c>
      <c r="F16" s="22">
        <v>44135</v>
      </c>
      <c r="G16" s="22">
        <v>38360.71</v>
      </c>
      <c r="H16" s="21">
        <v>48000</v>
      </c>
      <c r="I16" s="21"/>
      <c r="J16" s="21">
        <v>46500</v>
      </c>
      <c r="K16" s="21">
        <v>0</v>
      </c>
      <c r="L16" s="22">
        <f t="shared" si="0"/>
        <v>46500</v>
      </c>
    </row>
    <row r="17" spans="1:12" x14ac:dyDescent="0.25">
      <c r="A17" t="s">
        <v>41</v>
      </c>
      <c r="B17" t="s">
        <v>42</v>
      </c>
      <c r="C17" s="22">
        <v>0</v>
      </c>
      <c r="D17" s="22">
        <v>4567</v>
      </c>
      <c r="E17" s="22">
        <v>43148</v>
      </c>
      <c r="F17" s="22">
        <v>27876</v>
      </c>
      <c r="G17" s="22">
        <v>51296.5</v>
      </c>
      <c r="H17" s="21">
        <v>65000</v>
      </c>
      <c r="I17" s="21"/>
      <c r="J17" s="21">
        <v>62000</v>
      </c>
      <c r="K17" s="21">
        <v>0</v>
      </c>
      <c r="L17" s="22">
        <f t="shared" si="0"/>
        <v>62000</v>
      </c>
    </row>
    <row r="18" spans="1:12" x14ac:dyDescent="0.25">
      <c r="A18" t="s">
        <v>43</v>
      </c>
      <c r="B18" t="s">
        <v>44</v>
      </c>
      <c r="C18" s="22">
        <v>0</v>
      </c>
      <c r="D18" s="22">
        <v>16718</v>
      </c>
      <c r="E18" s="22">
        <v>15295</v>
      </c>
      <c r="F18" s="22">
        <v>5000</v>
      </c>
      <c r="G18" s="22">
        <v>10030.94</v>
      </c>
      <c r="H18" s="21">
        <v>12500</v>
      </c>
      <c r="I18" s="21"/>
      <c r="J18" s="24">
        <v>13000</v>
      </c>
      <c r="K18" s="21">
        <v>0</v>
      </c>
      <c r="L18" s="22">
        <f t="shared" si="0"/>
        <v>13000</v>
      </c>
    </row>
    <row r="19" spans="1:12" x14ac:dyDescent="0.25">
      <c r="A19" t="s">
        <v>45</v>
      </c>
      <c r="B19" t="s">
        <v>46</v>
      </c>
      <c r="C19" s="22">
        <v>0</v>
      </c>
      <c r="D19" s="22">
        <v>0</v>
      </c>
      <c r="E19" s="22">
        <v>1658</v>
      </c>
      <c r="F19" s="22">
        <v>1242</v>
      </c>
      <c r="G19" s="22">
        <v>1089.1099999999999</v>
      </c>
      <c r="H19" s="21">
        <v>1300</v>
      </c>
      <c r="I19" s="21"/>
      <c r="J19" s="21">
        <v>1350</v>
      </c>
      <c r="K19" s="21">
        <v>0</v>
      </c>
      <c r="L19" s="22">
        <f t="shared" si="0"/>
        <v>1350</v>
      </c>
    </row>
    <row r="20" spans="1:12" x14ac:dyDescent="0.25">
      <c r="A20" t="s">
        <v>47</v>
      </c>
      <c r="B20" t="s">
        <v>48</v>
      </c>
      <c r="C20" s="22">
        <v>17073</v>
      </c>
      <c r="D20" s="22">
        <v>12699</v>
      </c>
      <c r="E20" s="22">
        <v>19914</v>
      </c>
      <c r="F20" s="22">
        <v>17319</v>
      </c>
      <c r="G20" s="22">
        <v>16886.28</v>
      </c>
      <c r="H20" s="21">
        <v>22500</v>
      </c>
      <c r="I20" s="21"/>
      <c r="J20" s="24">
        <v>22500</v>
      </c>
      <c r="K20" s="21">
        <v>0</v>
      </c>
      <c r="L20" s="22">
        <f t="shared" si="0"/>
        <v>22500</v>
      </c>
    </row>
    <row r="21" spans="1:12" x14ac:dyDescent="0.25">
      <c r="A21" t="s">
        <v>49</v>
      </c>
      <c r="B21" t="s">
        <v>50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1">
        <v>0</v>
      </c>
      <c r="I21" s="21"/>
      <c r="J21" s="21">
        <v>0</v>
      </c>
      <c r="K21" s="21">
        <v>0</v>
      </c>
      <c r="L21" s="22">
        <f t="shared" si="0"/>
        <v>0</v>
      </c>
    </row>
    <row r="22" spans="1:12" x14ac:dyDescent="0.25">
      <c r="A22" t="s">
        <v>51</v>
      </c>
      <c r="B22" t="s">
        <v>52</v>
      </c>
      <c r="C22" s="22">
        <v>389764</v>
      </c>
      <c r="D22" s="22">
        <v>480847</v>
      </c>
      <c r="E22" s="22">
        <v>541051</v>
      </c>
      <c r="F22" s="22">
        <v>493650</v>
      </c>
      <c r="G22" s="22">
        <v>544370.53</v>
      </c>
      <c r="H22" s="21">
        <v>550000</v>
      </c>
      <c r="I22" s="21"/>
      <c r="J22" s="21">
        <v>540000</v>
      </c>
      <c r="K22" s="21">
        <v>0</v>
      </c>
      <c r="L22" s="22">
        <f t="shared" si="0"/>
        <v>540000</v>
      </c>
    </row>
    <row r="23" spans="1:12" x14ac:dyDescent="0.25">
      <c r="A23" t="s">
        <v>53</v>
      </c>
      <c r="B23" t="s">
        <v>54</v>
      </c>
      <c r="C23" s="22">
        <v>42194</v>
      </c>
      <c r="D23" s="22">
        <v>4588</v>
      </c>
      <c r="E23" s="22">
        <v>4097</v>
      </c>
      <c r="F23" s="22">
        <v>4187</v>
      </c>
      <c r="G23" s="22">
        <v>3503.81</v>
      </c>
      <c r="H23" s="21">
        <v>4000</v>
      </c>
      <c r="I23" s="21"/>
      <c r="J23" s="21">
        <v>3750</v>
      </c>
      <c r="K23" s="21">
        <v>0</v>
      </c>
      <c r="L23" s="22">
        <f t="shared" si="0"/>
        <v>3750</v>
      </c>
    </row>
    <row r="24" spans="1:12" x14ac:dyDescent="0.25">
      <c r="A24" t="s">
        <v>55</v>
      </c>
      <c r="B24" t="s">
        <v>56</v>
      </c>
      <c r="C24" s="22">
        <v>108807</v>
      </c>
      <c r="D24" s="22">
        <v>107693</v>
      </c>
      <c r="E24" s="22">
        <v>92889</v>
      </c>
      <c r="F24" s="22">
        <v>124589</v>
      </c>
      <c r="G24" s="22">
        <v>113595.37</v>
      </c>
      <c r="H24" s="21">
        <v>116000</v>
      </c>
      <c r="I24" s="21"/>
      <c r="J24" s="21">
        <v>115000</v>
      </c>
      <c r="K24" s="21">
        <v>0</v>
      </c>
      <c r="L24" s="22">
        <f t="shared" si="0"/>
        <v>115000</v>
      </c>
    </row>
    <row r="25" spans="1:12" x14ac:dyDescent="0.25">
      <c r="A25" t="s">
        <v>57</v>
      </c>
      <c r="B25" t="s">
        <v>58</v>
      </c>
      <c r="C25" s="22">
        <v>15215</v>
      </c>
      <c r="D25" s="22">
        <v>10264</v>
      </c>
      <c r="E25" s="22">
        <v>14045</v>
      </c>
      <c r="F25" s="22">
        <v>28090</v>
      </c>
      <c r="G25" s="22">
        <v>0</v>
      </c>
      <c r="H25" s="21">
        <v>0</v>
      </c>
      <c r="I25" s="21"/>
      <c r="J25" s="24">
        <v>20000</v>
      </c>
      <c r="K25" s="21">
        <v>0</v>
      </c>
      <c r="L25" s="22">
        <f t="shared" si="0"/>
        <v>20000</v>
      </c>
    </row>
    <row r="26" spans="1:12" x14ac:dyDescent="0.25">
      <c r="A26" t="s">
        <v>59</v>
      </c>
      <c r="B26" t="s">
        <v>60</v>
      </c>
      <c r="C26" s="22">
        <v>866</v>
      </c>
      <c r="D26" s="22">
        <v>727</v>
      </c>
      <c r="E26" s="22">
        <v>798</v>
      </c>
      <c r="F26" s="22">
        <v>498</v>
      </c>
      <c r="G26" s="22">
        <v>0</v>
      </c>
      <c r="H26" s="21">
        <v>0</v>
      </c>
      <c r="I26" s="21"/>
      <c r="J26" s="24">
        <v>300</v>
      </c>
      <c r="K26" s="21">
        <v>0</v>
      </c>
      <c r="L26" s="22">
        <f t="shared" si="0"/>
        <v>300</v>
      </c>
    </row>
    <row r="27" spans="1:12" x14ac:dyDescent="0.25">
      <c r="A27" t="s">
        <v>61</v>
      </c>
      <c r="B27" t="s">
        <v>62</v>
      </c>
      <c r="C27" s="22">
        <v>1044</v>
      </c>
      <c r="D27" s="22">
        <v>848</v>
      </c>
      <c r="E27" s="22">
        <v>1229</v>
      </c>
      <c r="F27" s="22">
        <v>1066</v>
      </c>
      <c r="G27" s="22">
        <v>2221.77</v>
      </c>
      <c r="H27" s="21">
        <v>2875</v>
      </c>
      <c r="I27" s="21"/>
      <c r="J27" s="21">
        <v>3000</v>
      </c>
      <c r="K27" s="21">
        <v>0</v>
      </c>
      <c r="L27" s="22">
        <f t="shared" si="0"/>
        <v>3000</v>
      </c>
    </row>
    <row r="28" spans="1:12" x14ac:dyDescent="0.25">
      <c r="A28" t="s">
        <v>63</v>
      </c>
      <c r="B28" t="s">
        <v>64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65</v>
      </c>
      <c r="B29" t="s">
        <v>46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1">
        <v>0</v>
      </c>
      <c r="I29" s="21"/>
      <c r="J29" s="21">
        <v>0</v>
      </c>
      <c r="K29" s="21">
        <v>0</v>
      </c>
      <c r="L29" s="22">
        <f t="shared" si="0"/>
        <v>0</v>
      </c>
    </row>
    <row r="30" spans="1:12" x14ac:dyDescent="0.25">
      <c r="A30" t="s">
        <v>66</v>
      </c>
      <c r="B30" t="s">
        <v>67</v>
      </c>
      <c r="C30" s="22">
        <v>0</v>
      </c>
      <c r="D30" s="22">
        <v>0</v>
      </c>
      <c r="E30" s="22">
        <v>7032</v>
      </c>
      <c r="F30" s="22">
        <v>6986</v>
      </c>
      <c r="G30" s="22">
        <v>8377.51</v>
      </c>
      <c r="H30" s="21">
        <v>10000</v>
      </c>
      <c r="I30" s="21"/>
      <c r="J30" s="21">
        <v>13000</v>
      </c>
      <c r="K30" s="21">
        <v>0</v>
      </c>
      <c r="L30" s="22">
        <f t="shared" si="0"/>
        <v>13000</v>
      </c>
    </row>
    <row r="31" spans="1:12" x14ac:dyDescent="0.25">
      <c r="A31" t="s">
        <v>68</v>
      </c>
      <c r="B31" t="s">
        <v>69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1">
        <v>0</v>
      </c>
      <c r="I31" s="21"/>
      <c r="J31" s="21">
        <v>0</v>
      </c>
      <c r="K31" s="21">
        <v>0</v>
      </c>
      <c r="L31" s="22">
        <f t="shared" si="0"/>
        <v>0</v>
      </c>
    </row>
    <row r="32" spans="1:12" x14ac:dyDescent="0.25">
      <c r="A32" t="s">
        <v>70</v>
      </c>
      <c r="B32" t="s">
        <v>71</v>
      </c>
      <c r="C32" s="22">
        <v>432</v>
      </c>
      <c r="D32" s="22">
        <v>43</v>
      </c>
      <c r="E32" s="22">
        <v>1941</v>
      </c>
      <c r="F32" s="22">
        <v>500</v>
      </c>
      <c r="G32" s="22">
        <v>1507.51</v>
      </c>
      <c r="H32" s="21">
        <v>1600</v>
      </c>
      <c r="I32" s="21"/>
      <c r="J32" s="21">
        <v>750</v>
      </c>
      <c r="K32" s="21">
        <v>0</v>
      </c>
      <c r="L32" s="22">
        <f t="shared" si="0"/>
        <v>750</v>
      </c>
    </row>
    <row r="33" spans="1:12" x14ac:dyDescent="0.25">
      <c r="A33" t="s">
        <v>72</v>
      </c>
      <c r="B33" t="s">
        <v>73</v>
      </c>
      <c r="C33" s="22">
        <v>0</v>
      </c>
      <c r="D33" s="22">
        <v>232</v>
      </c>
      <c r="E33" s="22">
        <v>0</v>
      </c>
      <c r="F33" s="22">
        <v>0</v>
      </c>
      <c r="G33" s="22">
        <v>0</v>
      </c>
      <c r="H33" s="21">
        <v>0</v>
      </c>
      <c r="I33" s="21"/>
      <c r="J33" s="21">
        <v>0</v>
      </c>
      <c r="K33" s="21">
        <v>0</v>
      </c>
      <c r="L33" s="22">
        <f t="shared" si="0"/>
        <v>0</v>
      </c>
    </row>
    <row r="34" spans="1:12" x14ac:dyDescent="0.25">
      <c r="A34" t="s">
        <v>74</v>
      </c>
      <c r="B34" t="s">
        <v>75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1">
        <v>0</v>
      </c>
      <c r="I34" s="21"/>
      <c r="J34" s="21">
        <v>0</v>
      </c>
      <c r="K34" s="21">
        <v>0</v>
      </c>
      <c r="L34" s="22">
        <f t="shared" si="0"/>
        <v>0</v>
      </c>
    </row>
    <row r="35" spans="1:12" x14ac:dyDescent="0.25">
      <c r="A35" t="s">
        <v>76</v>
      </c>
      <c r="B35" t="s">
        <v>77</v>
      </c>
      <c r="C35" s="22">
        <v>9328</v>
      </c>
      <c r="D35" s="22">
        <v>38777</v>
      </c>
      <c r="E35" s="22">
        <v>35655</v>
      </c>
      <c r="F35" s="22">
        <v>10000</v>
      </c>
      <c r="G35" s="22">
        <v>19918.54</v>
      </c>
      <c r="H35" s="21">
        <v>22000</v>
      </c>
      <c r="I35" s="21"/>
      <c r="J35" s="21">
        <v>15000</v>
      </c>
      <c r="K35" s="21">
        <v>0</v>
      </c>
      <c r="L35" s="22">
        <f t="shared" si="0"/>
        <v>15000</v>
      </c>
    </row>
    <row r="36" spans="1:12" x14ac:dyDescent="0.25">
      <c r="A36" t="s">
        <v>78</v>
      </c>
      <c r="B36" t="s">
        <v>79</v>
      </c>
      <c r="C36" s="22">
        <v>0</v>
      </c>
      <c r="D36" s="22">
        <v>0</v>
      </c>
      <c r="E36" s="22">
        <v>12305</v>
      </c>
      <c r="F36" s="22">
        <v>0</v>
      </c>
      <c r="G36" s="22">
        <v>0.02</v>
      </c>
      <c r="H36" s="21">
        <v>0</v>
      </c>
      <c r="I36" s="21"/>
      <c r="J36" s="21">
        <v>0</v>
      </c>
      <c r="K36" s="21">
        <v>0</v>
      </c>
      <c r="L36" s="22">
        <f t="shared" si="0"/>
        <v>0</v>
      </c>
    </row>
    <row r="37" spans="1:12" x14ac:dyDescent="0.25">
      <c r="A37" t="s">
        <v>80</v>
      </c>
      <c r="B37" t="s">
        <v>81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1">
        <v>0</v>
      </c>
      <c r="I37" s="21"/>
      <c r="J37" s="21">
        <v>0</v>
      </c>
      <c r="K37" s="21">
        <v>0</v>
      </c>
      <c r="L37" s="22">
        <f t="shared" si="0"/>
        <v>0</v>
      </c>
    </row>
    <row r="38" spans="1:12" x14ac:dyDescent="0.25">
      <c r="A38" t="s">
        <v>82</v>
      </c>
      <c r="B38" t="s">
        <v>83</v>
      </c>
      <c r="C38" s="22">
        <v>0</v>
      </c>
      <c r="D38" s="22">
        <v>0</v>
      </c>
      <c r="E38" s="22">
        <v>825</v>
      </c>
      <c r="F38" s="22">
        <v>570</v>
      </c>
      <c r="G38" s="22">
        <v>1440</v>
      </c>
      <c r="H38" s="21">
        <v>1570</v>
      </c>
      <c r="I38" s="21"/>
      <c r="J38" s="21">
        <v>2200</v>
      </c>
      <c r="K38" s="21">
        <v>0</v>
      </c>
      <c r="L38" s="22">
        <f t="shared" si="0"/>
        <v>2200</v>
      </c>
    </row>
    <row r="39" spans="1:12" x14ac:dyDescent="0.25">
      <c r="A39" t="s">
        <v>84</v>
      </c>
      <c r="B39" t="s">
        <v>85</v>
      </c>
      <c r="C39" s="22">
        <v>625</v>
      </c>
      <c r="D39" s="22">
        <v>0</v>
      </c>
      <c r="E39" s="22">
        <v>0</v>
      </c>
      <c r="F39" s="22">
        <v>0</v>
      </c>
      <c r="G39" s="22">
        <v>0</v>
      </c>
      <c r="H39" s="21">
        <v>0</v>
      </c>
      <c r="I39" s="21"/>
      <c r="J39" s="21">
        <v>0</v>
      </c>
      <c r="K39" s="21">
        <v>0</v>
      </c>
      <c r="L39" s="22">
        <f t="shared" si="0"/>
        <v>0</v>
      </c>
    </row>
    <row r="40" spans="1:12" x14ac:dyDescent="0.25">
      <c r="A40" t="s">
        <v>86</v>
      </c>
      <c r="B40" t="s">
        <v>87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1">
        <v>0</v>
      </c>
      <c r="I40" s="21"/>
      <c r="J40" s="21">
        <v>0</v>
      </c>
      <c r="K40" s="21">
        <v>0</v>
      </c>
      <c r="L40" s="22">
        <f t="shared" si="0"/>
        <v>0</v>
      </c>
    </row>
    <row r="41" spans="1:12" x14ac:dyDescent="0.25">
      <c r="A41" t="s">
        <v>88</v>
      </c>
      <c r="B41" t="s">
        <v>89</v>
      </c>
      <c r="C41" s="22">
        <v>186092</v>
      </c>
      <c r="D41" s="22">
        <v>221776</v>
      </c>
      <c r="E41" s="22">
        <v>128034</v>
      </c>
      <c r="F41" s="22">
        <v>0</v>
      </c>
      <c r="G41" s="22">
        <v>0</v>
      </c>
      <c r="H41" s="21">
        <v>0</v>
      </c>
      <c r="I41" s="21"/>
      <c r="J41" s="21">
        <v>0</v>
      </c>
      <c r="K41" s="21">
        <v>0</v>
      </c>
      <c r="L41" s="22">
        <f t="shared" si="0"/>
        <v>0</v>
      </c>
    </row>
    <row r="42" spans="1:12" x14ac:dyDescent="0.25">
      <c r="A42" t="s">
        <v>90</v>
      </c>
      <c r="B42" t="s">
        <v>91</v>
      </c>
      <c r="C42" s="22">
        <v>750</v>
      </c>
      <c r="D42" s="22">
        <v>738</v>
      </c>
      <c r="E42" s="22">
        <v>0</v>
      </c>
      <c r="F42" s="22">
        <v>0</v>
      </c>
      <c r="G42" s="22">
        <v>0</v>
      </c>
      <c r="H42" s="21">
        <v>0</v>
      </c>
      <c r="I42" s="21"/>
      <c r="J42" s="21">
        <v>0</v>
      </c>
      <c r="K42" s="21">
        <v>0</v>
      </c>
      <c r="L42" s="22">
        <f t="shared" si="0"/>
        <v>0</v>
      </c>
    </row>
    <row r="43" spans="1:12" x14ac:dyDescent="0.25">
      <c r="A43" t="s">
        <v>92</v>
      </c>
      <c r="B43" t="s">
        <v>93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1">
        <v>0</v>
      </c>
      <c r="I43" s="21"/>
      <c r="J43" s="21">
        <v>0</v>
      </c>
      <c r="K43" s="21">
        <v>0</v>
      </c>
      <c r="L43" s="22">
        <f t="shared" si="0"/>
        <v>0</v>
      </c>
    </row>
    <row r="44" spans="1:12" x14ac:dyDescent="0.25">
      <c r="A44" t="s">
        <v>94</v>
      </c>
      <c r="B44" t="s">
        <v>95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1">
        <v>0</v>
      </c>
      <c r="I44" s="21"/>
      <c r="J44" s="21">
        <v>0</v>
      </c>
      <c r="K44" s="21">
        <v>0</v>
      </c>
      <c r="L44" s="22">
        <f t="shared" si="0"/>
        <v>0</v>
      </c>
    </row>
    <row r="45" spans="1:12" x14ac:dyDescent="0.25">
      <c r="A45" t="s">
        <v>96</v>
      </c>
      <c r="B45" t="s">
        <v>97</v>
      </c>
      <c r="C45" s="22">
        <v>1600000</v>
      </c>
      <c r="D45" s="22">
        <v>2059643</v>
      </c>
      <c r="E45" s="22">
        <v>2059643</v>
      </c>
      <c r="F45" s="22">
        <v>3643573</v>
      </c>
      <c r="G45" s="22">
        <v>1544732.28</v>
      </c>
      <c r="H45" s="21">
        <v>3643573</v>
      </c>
      <c r="I45" s="21"/>
      <c r="J45" s="21">
        <v>3643573</v>
      </c>
      <c r="K45" s="21">
        <v>0</v>
      </c>
      <c r="L45" s="22">
        <f t="shared" si="0"/>
        <v>3643573</v>
      </c>
    </row>
    <row r="46" spans="1:12" x14ac:dyDescent="0.25">
      <c r="B46" t="s">
        <v>3541</v>
      </c>
      <c r="C46" s="22"/>
      <c r="D46" s="22"/>
      <c r="E46" s="22"/>
      <c r="F46" s="22"/>
      <c r="G46" s="22"/>
      <c r="H46" s="21"/>
      <c r="I46" s="21"/>
      <c r="J46" s="21"/>
      <c r="K46" s="21"/>
      <c r="L46" s="22"/>
    </row>
    <row r="47" spans="1:12" x14ac:dyDescent="0.25">
      <c r="A47" t="s">
        <v>98</v>
      </c>
      <c r="B47" t="s">
        <v>99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1">
        <v>0</v>
      </c>
      <c r="I47" s="21"/>
      <c r="J47" s="21">
        <v>0</v>
      </c>
      <c r="K47" s="21">
        <v>0</v>
      </c>
      <c r="L47" s="22">
        <f t="shared" si="0"/>
        <v>0</v>
      </c>
    </row>
    <row r="48" spans="1:12" x14ac:dyDescent="0.25">
      <c r="A48" t="s">
        <v>100</v>
      </c>
      <c r="B48" t="s">
        <v>101</v>
      </c>
      <c r="C48" s="22">
        <v>0</v>
      </c>
      <c r="D48" s="22">
        <v>0</v>
      </c>
      <c r="E48" s="22">
        <v>0</v>
      </c>
      <c r="F48" s="22">
        <v>422354</v>
      </c>
      <c r="G48" s="22">
        <v>0</v>
      </c>
      <c r="H48" s="21">
        <v>0</v>
      </c>
      <c r="I48" s="21"/>
      <c r="J48" s="21">
        <v>0</v>
      </c>
      <c r="K48" s="21">
        <v>0</v>
      </c>
      <c r="L48" s="22">
        <f t="shared" si="0"/>
        <v>0</v>
      </c>
    </row>
    <row r="49" spans="1:12" x14ac:dyDescent="0.25">
      <c r="A49" t="s">
        <v>102</v>
      </c>
      <c r="B49" t="s">
        <v>103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1">
        <v>0</v>
      </c>
      <c r="I49" s="21"/>
      <c r="J49" s="21">
        <v>0</v>
      </c>
      <c r="K49" s="21">
        <v>0</v>
      </c>
      <c r="L49" s="22">
        <f t="shared" si="0"/>
        <v>0</v>
      </c>
    </row>
    <row r="50" spans="1:12" x14ac:dyDescent="0.25">
      <c r="A50" t="s">
        <v>104</v>
      </c>
      <c r="B50" t="s">
        <v>105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1">
        <v>0</v>
      </c>
      <c r="I50" s="21"/>
      <c r="J50" s="21">
        <v>0</v>
      </c>
      <c r="K50" s="21">
        <v>0</v>
      </c>
      <c r="L50" s="22">
        <f t="shared" si="0"/>
        <v>0</v>
      </c>
    </row>
    <row r="51" spans="1:12" x14ac:dyDescent="0.25">
      <c r="A51" t="s">
        <v>106</v>
      </c>
      <c r="B51" t="s">
        <v>107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1">
        <v>0</v>
      </c>
      <c r="I51" s="21"/>
      <c r="J51" s="21">
        <v>0</v>
      </c>
      <c r="K51" s="21">
        <v>0</v>
      </c>
      <c r="L51" s="22">
        <f t="shared" si="0"/>
        <v>0</v>
      </c>
    </row>
    <row r="52" spans="1:12" x14ac:dyDescent="0.25"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x14ac:dyDescent="0.25"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x14ac:dyDescent="0.25">
      <c r="A54" t="s">
        <v>109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x14ac:dyDescent="0.25">
      <c r="B55" t="s">
        <v>25</v>
      </c>
      <c r="C55" s="22">
        <f t="shared" ref="C55:H55" si="1">SUM(C10:C51)</f>
        <v>8600177</v>
      </c>
      <c r="D55" s="22">
        <f t="shared" si="1"/>
        <v>10583569</v>
      </c>
      <c r="E55" s="22">
        <f t="shared" si="1"/>
        <v>11704038</v>
      </c>
      <c r="F55" s="22">
        <f t="shared" si="1"/>
        <v>12159200</v>
      </c>
      <c r="G55" s="22">
        <f t="shared" si="1"/>
        <v>9380387.5899999999</v>
      </c>
      <c r="H55" s="22">
        <f t="shared" si="1"/>
        <v>11849918</v>
      </c>
      <c r="I55" s="22"/>
      <c r="J55" s="22">
        <f>SUM(J10:J51)</f>
        <v>12006923</v>
      </c>
      <c r="K55" s="22">
        <f>SUM(K10:K51)</f>
        <v>0</v>
      </c>
      <c r="L55" s="22">
        <f>SUM(L10:L51)</f>
        <v>12006923</v>
      </c>
    </row>
    <row r="56" spans="1:12" x14ac:dyDescent="0.25"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x14ac:dyDescent="0.25"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x14ac:dyDescent="0.25">
      <c r="A58" t="s">
        <v>152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x14ac:dyDescent="0.25">
      <c r="A59" t="s">
        <v>18</v>
      </c>
      <c r="B59" t="s">
        <v>108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x14ac:dyDescent="0.25">
      <c r="A60" t="s">
        <v>127</v>
      </c>
      <c r="B60" t="s">
        <v>128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1">
        <v>0</v>
      </c>
      <c r="I60" s="21"/>
      <c r="J60" s="21">
        <v>0</v>
      </c>
      <c r="K60" s="21">
        <v>0</v>
      </c>
      <c r="L60" s="22">
        <f>SUM(J60+K60)</f>
        <v>0</v>
      </c>
    </row>
    <row r="61" spans="1:12" x14ac:dyDescent="0.25">
      <c r="A61" t="s">
        <v>129</v>
      </c>
      <c r="B61" t="s">
        <v>130</v>
      </c>
      <c r="C61" s="22">
        <v>0</v>
      </c>
      <c r="D61" s="22">
        <v>100</v>
      </c>
      <c r="E61" s="22">
        <v>600</v>
      </c>
      <c r="F61" s="22">
        <v>0</v>
      </c>
      <c r="G61" s="22">
        <v>100</v>
      </c>
      <c r="H61" s="21">
        <v>100</v>
      </c>
      <c r="I61" s="21"/>
      <c r="J61" s="21">
        <v>0</v>
      </c>
      <c r="K61" s="21">
        <v>0</v>
      </c>
      <c r="L61" s="22">
        <f t="shared" ref="L61:L72" si="2">SUM(J61+K61)</f>
        <v>0</v>
      </c>
    </row>
    <row r="62" spans="1:12" x14ac:dyDescent="0.25">
      <c r="A62" t="s">
        <v>131</v>
      </c>
      <c r="B62" t="s">
        <v>132</v>
      </c>
      <c r="C62" s="22">
        <v>6500</v>
      </c>
      <c r="D62" s="22">
        <v>19600</v>
      </c>
      <c r="E62" s="22">
        <v>16150</v>
      </c>
      <c r="F62" s="22">
        <v>16000</v>
      </c>
      <c r="G62" s="22">
        <v>15639.59</v>
      </c>
      <c r="H62" s="21">
        <v>15640</v>
      </c>
      <c r="I62" s="21"/>
      <c r="J62" s="21">
        <v>15000</v>
      </c>
      <c r="K62" s="21">
        <v>0</v>
      </c>
      <c r="L62" s="22">
        <f t="shared" si="2"/>
        <v>15000</v>
      </c>
    </row>
    <row r="63" spans="1:12" x14ac:dyDescent="0.25">
      <c r="A63" t="s">
        <v>133</v>
      </c>
      <c r="B63" t="s">
        <v>134</v>
      </c>
      <c r="C63" s="22">
        <v>1718</v>
      </c>
      <c r="D63" s="22">
        <v>1700</v>
      </c>
      <c r="E63" s="22">
        <v>990</v>
      </c>
      <c r="F63" s="22">
        <v>1000</v>
      </c>
      <c r="G63" s="22">
        <v>2045</v>
      </c>
      <c r="H63" s="21">
        <v>2045</v>
      </c>
      <c r="I63" s="21"/>
      <c r="J63" s="21">
        <v>2000</v>
      </c>
      <c r="K63" s="21">
        <v>0</v>
      </c>
      <c r="L63" s="22">
        <f t="shared" si="2"/>
        <v>2000</v>
      </c>
    </row>
    <row r="64" spans="1:12" x14ac:dyDescent="0.25">
      <c r="A64" t="s">
        <v>135</v>
      </c>
      <c r="B64" t="s">
        <v>136</v>
      </c>
      <c r="C64" s="22">
        <v>0</v>
      </c>
      <c r="D64" s="22">
        <v>1735</v>
      </c>
      <c r="E64" s="22">
        <v>1915</v>
      </c>
      <c r="F64" s="22">
        <v>1900</v>
      </c>
      <c r="G64" s="22">
        <v>0</v>
      </c>
      <c r="H64" s="21">
        <v>0</v>
      </c>
      <c r="I64" s="21"/>
      <c r="J64" s="21">
        <v>0</v>
      </c>
      <c r="K64" s="21">
        <v>0</v>
      </c>
      <c r="L64" s="22">
        <f t="shared" si="2"/>
        <v>0</v>
      </c>
    </row>
    <row r="65" spans="1:12" x14ac:dyDescent="0.25">
      <c r="A65" t="s">
        <v>137</v>
      </c>
      <c r="B65" t="s">
        <v>138</v>
      </c>
      <c r="C65" s="22">
        <v>4800</v>
      </c>
      <c r="D65" s="22">
        <v>3750</v>
      </c>
      <c r="E65" s="22">
        <v>5000</v>
      </c>
      <c r="F65" s="22">
        <v>5000</v>
      </c>
      <c r="G65" s="22">
        <v>5925</v>
      </c>
      <c r="H65" s="21">
        <v>5925</v>
      </c>
      <c r="I65" s="21"/>
      <c r="J65" s="21">
        <v>6000</v>
      </c>
      <c r="K65" s="21">
        <v>0</v>
      </c>
      <c r="L65" s="22">
        <f t="shared" si="2"/>
        <v>6000</v>
      </c>
    </row>
    <row r="66" spans="1:12" x14ac:dyDescent="0.25">
      <c r="A66" t="s">
        <v>139</v>
      </c>
      <c r="B66" t="s">
        <v>140</v>
      </c>
      <c r="C66" s="22">
        <v>6529</v>
      </c>
      <c r="D66" s="22">
        <v>3172</v>
      </c>
      <c r="E66" s="22">
        <v>1100</v>
      </c>
      <c r="F66" s="22">
        <v>1000</v>
      </c>
      <c r="G66" s="22">
        <v>3225</v>
      </c>
      <c r="H66" s="21">
        <v>3225</v>
      </c>
      <c r="I66" s="21"/>
      <c r="J66" s="21">
        <v>3250</v>
      </c>
      <c r="K66" s="21">
        <v>0</v>
      </c>
      <c r="L66" s="22">
        <f t="shared" si="2"/>
        <v>3250</v>
      </c>
    </row>
    <row r="67" spans="1:12" x14ac:dyDescent="0.25">
      <c r="A67" t="s">
        <v>141</v>
      </c>
      <c r="B67" t="s">
        <v>142</v>
      </c>
      <c r="C67" s="22">
        <v>2900</v>
      </c>
      <c r="D67" s="22">
        <v>1856</v>
      </c>
      <c r="E67" s="22">
        <v>1060</v>
      </c>
      <c r="F67" s="22">
        <v>1000</v>
      </c>
      <c r="G67" s="22">
        <v>1215.9000000000001</v>
      </c>
      <c r="H67" s="21">
        <v>1216</v>
      </c>
      <c r="I67" s="21"/>
      <c r="J67" s="21">
        <v>1200</v>
      </c>
      <c r="K67" s="21">
        <v>0</v>
      </c>
      <c r="L67" s="22">
        <f t="shared" si="2"/>
        <v>1200</v>
      </c>
    </row>
    <row r="68" spans="1:12" x14ac:dyDescent="0.25">
      <c r="A68" t="s">
        <v>143</v>
      </c>
      <c r="B68" t="s">
        <v>144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1">
        <v>0</v>
      </c>
      <c r="I68" s="21"/>
      <c r="J68" s="21">
        <v>0</v>
      </c>
      <c r="K68" s="21">
        <v>0</v>
      </c>
      <c r="L68" s="22">
        <f t="shared" si="2"/>
        <v>0</v>
      </c>
    </row>
    <row r="69" spans="1:12" x14ac:dyDescent="0.25">
      <c r="A69" t="s">
        <v>145</v>
      </c>
      <c r="B69" t="s">
        <v>146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1">
        <v>0</v>
      </c>
      <c r="I69" s="21"/>
      <c r="J69" s="21">
        <v>0</v>
      </c>
      <c r="K69" s="21">
        <v>0</v>
      </c>
      <c r="L69" s="22">
        <f t="shared" si="2"/>
        <v>0</v>
      </c>
    </row>
    <row r="70" spans="1:12" x14ac:dyDescent="0.25">
      <c r="A70" t="s">
        <v>147</v>
      </c>
      <c r="B70" t="s">
        <v>148</v>
      </c>
      <c r="C70" s="22">
        <v>0</v>
      </c>
      <c r="D70" s="22">
        <v>0</v>
      </c>
      <c r="E70" s="22">
        <v>0</v>
      </c>
      <c r="F70" s="22">
        <v>0</v>
      </c>
      <c r="G70" s="22">
        <v>2901</v>
      </c>
      <c r="H70" s="21">
        <v>2901</v>
      </c>
      <c r="I70" s="21"/>
      <c r="J70" s="21">
        <v>2500</v>
      </c>
      <c r="K70" s="21">
        <v>0</v>
      </c>
      <c r="L70" s="22">
        <f t="shared" si="2"/>
        <v>2500</v>
      </c>
    </row>
    <row r="71" spans="1:12" x14ac:dyDescent="0.25">
      <c r="A71" t="s">
        <v>149</v>
      </c>
      <c r="B71" t="s">
        <v>150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1">
        <v>0</v>
      </c>
      <c r="I71" s="21"/>
      <c r="J71" s="21">
        <v>0</v>
      </c>
      <c r="K71" s="21">
        <v>0</v>
      </c>
      <c r="L71" s="22">
        <f t="shared" si="2"/>
        <v>0</v>
      </c>
    </row>
    <row r="72" spans="1:12" x14ac:dyDescent="0.25">
      <c r="A72" t="s">
        <v>151</v>
      </c>
      <c r="B72" t="s">
        <v>77</v>
      </c>
      <c r="C72" s="22">
        <v>0</v>
      </c>
      <c r="D72" s="22">
        <v>0</v>
      </c>
      <c r="E72" s="22">
        <v>2000</v>
      </c>
      <c r="F72" s="22">
        <v>0</v>
      </c>
      <c r="G72" s="22">
        <v>0</v>
      </c>
      <c r="H72" s="21">
        <v>0</v>
      </c>
      <c r="I72" s="21"/>
      <c r="J72" s="21">
        <v>0</v>
      </c>
      <c r="K72" s="21">
        <v>0</v>
      </c>
      <c r="L72" s="22">
        <f t="shared" si="2"/>
        <v>0</v>
      </c>
    </row>
    <row r="73" spans="1:12" x14ac:dyDescent="0.25"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x14ac:dyDescent="0.25"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x14ac:dyDescent="0.25">
      <c r="A75" t="s">
        <v>109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x14ac:dyDescent="0.25">
      <c r="B76" t="s">
        <v>152</v>
      </c>
      <c r="C76" s="22">
        <f t="shared" ref="C76:H76" si="3">SUM(C60:C72)</f>
        <v>22447</v>
      </c>
      <c r="D76" s="22">
        <f t="shared" si="3"/>
        <v>31913</v>
      </c>
      <c r="E76" s="22">
        <f t="shared" si="3"/>
        <v>28815</v>
      </c>
      <c r="F76" s="22">
        <f t="shared" si="3"/>
        <v>25900</v>
      </c>
      <c r="G76" s="22">
        <f t="shared" si="3"/>
        <v>31051.49</v>
      </c>
      <c r="H76" s="22">
        <f t="shared" si="3"/>
        <v>31052</v>
      </c>
      <c r="I76" s="22"/>
      <c r="J76" s="22">
        <f>SUM(J60:J72)</f>
        <v>29950</v>
      </c>
      <c r="K76" s="22">
        <f>SUM(K60:K72)</f>
        <v>0</v>
      </c>
      <c r="L76" s="22">
        <f>SUM(L60:L72)</f>
        <v>29950</v>
      </c>
    </row>
    <row r="77" spans="1:12" x14ac:dyDescent="0.25"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2" x14ac:dyDescent="0.25">
      <c r="A79" t="s">
        <v>225</v>
      </c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x14ac:dyDescent="0.25">
      <c r="A80" t="s">
        <v>18</v>
      </c>
      <c r="B80" t="s">
        <v>23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x14ac:dyDescent="0.25">
      <c r="A81" t="s">
        <v>155</v>
      </c>
      <c r="B81" t="s">
        <v>156</v>
      </c>
      <c r="C81" s="22">
        <v>0</v>
      </c>
      <c r="D81" s="22">
        <v>0</v>
      </c>
      <c r="E81" s="22">
        <v>16865</v>
      </c>
      <c r="F81" s="22">
        <v>17844</v>
      </c>
      <c r="G81" s="22">
        <v>10924.55</v>
      </c>
      <c r="H81" s="21">
        <v>14500</v>
      </c>
      <c r="I81" s="21"/>
      <c r="J81" s="21">
        <v>15000</v>
      </c>
      <c r="K81" s="21">
        <v>0</v>
      </c>
      <c r="L81" s="22">
        <f>SUM(J81+K81)</f>
        <v>15000</v>
      </c>
    </row>
    <row r="82" spans="1:12" x14ac:dyDescent="0.25">
      <c r="A82" t="s">
        <v>157</v>
      </c>
      <c r="B82" t="s">
        <v>158</v>
      </c>
      <c r="C82" s="22">
        <v>450</v>
      </c>
      <c r="D82" s="22">
        <v>1550</v>
      </c>
      <c r="E82" s="22">
        <v>500</v>
      </c>
      <c r="F82" s="22">
        <v>550</v>
      </c>
      <c r="G82" s="22">
        <v>350</v>
      </c>
      <c r="H82" s="21">
        <v>400</v>
      </c>
      <c r="I82" s="21"/>
      <c r="J82" s="21">
        <v>350</v>
      </c>
      <c r="K82" s="21">
        <v>0</v>
      </c>
      <c r="L82" s="22">
        <f t="shared" ref="L82:L116" si="4">SUM(J82+K82)</f>
        <v>350</v>
      </c>
    </row>
    <row r="83" spans="1:12" x14ac:dyDescent="0.25">
      <c r="A83" t="s">
        <v>159</v>
      </c>
      <c r="B83" t="s">
        <v>160</v>
      </c>
      <c r="C83" s="22">
        <v>0</v>
      </c>
      <c r="D83" s="22">
        <v>5000</v>
      </c>
      <c r="E83" s="22">
        <v>0</v>
      </c>
      <c r="F83" s="22">
        <v>1000</v>
      </c>
      <c r="G83" s="22">
        <v>0</v>
      </c>
      <c r="H83" s="21">
        <v>0</v>
      </c>
      <c r="I83" s="21"/>
      <c r="J83" s="21">
        <v>0</v>
      </c>
      <c r="K83" s="21">
        <v>0</v>
      </c>
      <c r="L83" s="22">
        <f t="shared" si="4"/>
        <v>0</v>
      </c>
    </row>
    <row r="84" spans="1:12" x14ac:dyDescent="0.25">
      <c r="A84" t="s">
        <v>161</v>
      </c>
      <c r="B84" t="s">
        <v>162</v>
      </c>
      <c r="C84" s="22">
        <v>15000</v>
      </c>
      <c r="D84" s="22">
        <v>5000</v>
      </c>
      <c r="E84" s="22">
        <v>0</v>
      </c>
      <c r="F84" s="22">
        <v>5000</v>
      </c>
      <c r="G84" s="22">
        <v>0</v>
      </c>
      <c r="H84" s="21">
        <v>0</v>
      </c>
      <c r="I84" s="21"/>
      <c r="J84" s="21">
        <v>0</v>
      </c>
      <c r="K84" s="21">
        <v>0</v>
      </c>
      <c r="L84" s="22">
        <f t="shared" si="4"/>
        <v>0</v>
      </c>
    </row>
    <row r="85" spans="1:12" x14ac:dyDescent="0.25">
      <c r="A85" t="s">
        <v>163</v>
      </c>
      <c r="B85" t="s">
        <v>164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1">
        <v>0</v>
      </c>
      <c r="I85" s="21"/>
      <c r="J85" s="21">
        <v>0</v>
      </c>
      <c r="K85" s="21">
        <v>0</v>
      </c>
      <c r="L85" s="22">
        <f t="shared" si="4"/>
        <v>0</v>
      </c>
    </row>
    <row r="86" spans="1:12" x14ac:dyDescent="0.25">
      <c r="A86" t="s">
        <v>165</v>
      </c>
      <c r="B86" t="s">
        <v>166</v>
      </c>
      <c r="C86" s="22">
        <v>0</v>
      </c>
      <c r="D86" s="22">
        <v>5000</v>
      </c>
      <c r="E86" s="22">
        <v>15000</v>
      </c>
      <c r="F86" s="22">
        <v>0</v>
      </c>
      <c r="G86" s="22">
        <v>0</v>
      </c>
      <c r="H86" s="21">
        <v>0</v>
      </c>
      <c r="I86" s="21"/>
      <c r="J86" s="21">
        <v>0</v>
      </c>
      <c r="K86" s="21">
        <v>0</v>
      </c>
      <c r="L86" s="22">
        <f t="shared" si="4"/>
        <v>0</v>
      </c>
    </row>
    <row r="87" spans="1:12" x14ac:dyDescent="0.25">
      <c r="A87" t="s">
        <v>167</v>
      </c>
      <c r="B87" t="s">
        <v>168</v>
      </c>
      <c r="C87" s="22">
        <v>0</v>
      </c>
      <c r="D87" s="22">
        <v>5000</v>
      </c>
      <c r="E87" s="22">
        <v>0</v>
      </c>
      <c r="F87" s="22">
        <v>0</v>
      </c>
      <c r="G87" s="22">
        <v>0</v>
      </c>
      <c r="H87" s="21">
        <v>0</v>
      </c>
      <c r="I87" s="21"/>
      <c r="J87" s="21">
        <v>0</v>
      </c>
      <c r="K87" s="21">
        <v>0</v>
      </c>
      <c r="L87" s="22">
        <f t="shared" si="4"/>
        <v>0</v>
      </c>
    </row>
    <row r="88" spans="1:12" x14ac:dyDescent="0.25">
      <c r="A88" t="s">
        <v>169</v>
      </c>
      <c r="B88" t="s">
        <v>77</v>
      </c>
      <c r="C88" s="22">
        <v>0</v>
      </c>
      <c r="D88" s="22">
        <v>0</v>
      </c>
      <c r="E88" s="22">
        <v>42897</v>
      </c>
      <c r="F88" s="22">
        <v>10000</v>
      </c>
      <c r="G88" s="22">
        <v>0</v>
      </c>
      <c r="H88" s="21">
        <v>0</v>
      </c>
      <c r="I88" s="21"/>
      <c r="J88" s="21">
        <v>0</v>
      </c>
      <c r="K88" s="21">
        <v>0</v>
      </c>
      <c r="L88" s="22">
        <f t="shared" si="4"/>
        <v>0</v>
      </c>
    </row>
    <row r="89" spans="1:12" x14ac:dyDescent="0.25">
      <c r="A89" t="s">
        <v>170</v>
      </c>
      <c r="B89" t="s">
        <v>171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1">
        <v>0</v>
      </c>
      <c r="I89" s="21"/>
      <c r="J89" s="21">
        <v>0</v>
      </c>
      <c r="K89" s="21">
        <v>0</v>
      </c>
      <c r="L89" s="22">
        <f t="shared" si="4"/>
        <v>0</v>
      </c>
    </row>
    <row r="90" spans="1:12" x14ac:dyDescent="0.25">
      <c r="A90" t="s">
        <v>172</v>
      </c>
      <c r="B90" t="s">
        <v>173</v>
      </c>
      <c r="C90" s="22">
        <v>53800</v>
      </c>
      <c r="D90" s="22">
        <v>56424</v>
      </c>
      <c r="E90" s="22">
        <v>4275</v>
      </c>
      <c r="F90" s="22">
        <v>2133</v>
      </c>
      <c r="G90" s="22">
        <v>975</v>
      </c>
      <c r="H90" s="21">
        <v>975</v>
      </c>
      <c r="I90" s="21"/>
      <c r="J90" s="21">
        <v>1000</v>
      </c>
      <c r="K90" s="21">
        <v>0</v>
      </c>
      <c r="L90" s="22">
        <f t="shared" si="4"/>
        <v>1000</v>
      </c>
    </row>
    <row r="91" spans="1:12" x14ac:dyDescent="0.25">
      <c r="A91" t="s">
        <v>174</v>
      </c>
      <c r="B91" t="s">
        <v>175</v>
      </c>
      <c r="C91" s="22">
        <v>5993</v>
      </c>
      <c r="D91" s="22">
        <v>8503</v>
      </c>
      <c r="E91" s="22">
        <v>9000</v>
      </c>
      <c r="F91" s="22">
        <v>12000</v>
      </c>
      <c r="G91" s="22">
        <v>50</v>
      </c>
      <c r="H91" s="21">
        <v>50</v>
      </c>
      <c r="I91" s="21"/>
      <c r="J91" s="24">
        <v>0</v>
      </c>
      <c r="K91" s="21">
        <v>0</v>
      </c>
      <c r="L91" s="22">
        <f t="shared" si="4"/>
        <v>0</v>
      </c>
    </row>
    <row r="92" spans="1:12" x14ac:dyDescent="0.25">
      <c r="A92" t="s">
        <v>176</v>
      </c>
      <c r="B92" t="s">
        <v>177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1">
        <v>0</v>
      </c>
      <c r="I92" s="21"/>
      <c r="J92" s="21">
        <v>0</v>
      </c>
      <c r="K92" s="21">
        <v>0</v>
      </c>
      <c r="L92" s="22">
        <f t="shared" si="4"/>
        <v>0</v>
      </c>
    </row>
    <row r="93" spans="1:12" x14ac:dyDescent="0.25">
      <c r="A93" t="s">
        <v>178</v>
      </c>
      <c r="B93" t="s">
        <v>179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1">
        <v>0</v>
      </c>
      <c r="I93" s="21"/>
      <c r="J93" s="21">
        <v>0</v>
      </c>
      <c r="K93" s="21">
        <v>0</v>
      </c>
      <c r="L93" s="22">
        <f t="shared" si="4"/>
        <v>0</v>
      </c>
    </row>
    <row r="94" spans="1:12" x14ac:dyDescent="0.25">
      <c r="A94" t="s">
        <v>180</v>
      </c>
      <c r="B94" t="s">
        <v>181</v>
      </c>
      <c r="C94" s="22">
        <v>1075603</v>
      </c>
      <c r="D94" s="22">
        <v>794042</v>
      </c>
      <c r="E94" s="22">
        <v>579219</v>
      </c>
      <c r="F94" s="22">
        <v>557437</v>
      </c>
      <c r="G94" s="22">
        <v>340677.47</v>
      </c>
      <c r="H94" s="21">
        <v>450000</v>
      </c>
      <c r="I94" s="21"/>
      <c r="J94" s="21">
        <v>450000</v>
      </c>
      <c r="K94" s="21">
        <v>0</v>
      </c>
      <c r="L94" s="22">
        <f t="shared" si="4"/>
        <v>450000</v>
      </c>
    </row>
    <row r="95" spans="1:12" x14ac:dyDescent="0.25">
      <c r="A95" t="s">
        <v>182</v>
      </c>
      <c r="B95" t="s">
        <v>183</v>
      </c>
      <c r="C95" s="22">
        <v>301583</v>
      </c>
      <c r="D95" s="22">
        <v>171335</v>
      </c>
      <c r="E95" s="22">
        <v>95333</v>
      </c>
      <c r="F95" s="22">
        <v>113724</v>
      </c>
      <c r="G95" s="22">
        <v>23485.42</v>
      </c>
      <c r="H95" s="21">
        <v>30000</v>
      </c>
      <c r="I95" s="21"/>
      <c r="J95" s="21">
        <v>30000</v>
      </c>
      <c r="K95" s="21">
        <v>0</v>
      </c>
      <c r="L95" s="22">
        <f t="shared" si="4"/>
        <v>30000</v>
      </c>
    </row>
    <row r="96" spans="1:12" x14ac:dyDescent="0.25">
      <c r="A96" t="s">
        <v>184</v>
      </c>
      <c r="B96" t="s">
        <v>185</v>
      </c>
      <c r="C96" s="22">
        <v>72068</v>
      </c>
      <c r="D96" s="22">
        <v>96528</v>
      </c>
      <c r="E96" s="22">
        <v>70317</v>
      </c>
      <c r="F96" s="22">
        <v>73995</v>
      </c>
      <c r="G96" s="22">
        <v>47629</v>
      </c>
      <c r="H96" s="21">
        <v>62000</v>
      </c>
      <c r="I96" s="21"/>
      <c r="J96" s="21">
        <v>62250</v>
      </c>
      <c r="K96" s="21">
        <v>0</v>
      </c>
      <c r="L96" s="22">
        <f t="shared" si="4"/>
        <v>62250</v>
      </c>
    </row>
    <row r="97" spans="1:12" x14ac:dyDescent="0.25">
      <c r="A97" t="s">
        <v>186</v>
      </c>
      <c r="B97" t="s">
        <v>187</v>
      </c>
      <c r="C97" s="22">
        <v>51637</v>
      </c>
      <c r="D97" s="22">
        <v>30541</v>
      </c>
      <c r="E97" s="22">
        <v>31486</v>
      </c>
      <c r="F97" s="22">
        <v>28379</v>
      </c>
      <c r="G97" s="22">
        <v>28575.55</v>
      </c>
      <c r="H97" s="21">
        <v>28576</v>
      </c>
      <c r="I97" s="21"/>
      <c r="J97" s="21">
        <v>28000</v>
      </c>
      <c r="K97" s="21">
        <v>0</v>
      </c>
      <c r="L97" s="22">
        <f t="shared" si="4"/>
        <v>28000</v>
      </c>
    </row>
    <row r="98" spans="1:12" x14ac:dyDescent="0.25">
      <c r="A98" t="s">
        <v>188</v>
      </c>
      <c r="B98" t="s">
        <v>189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1">
        <v>0</v>
      </c>
      <c r="I98" s="21"/>
      <c r="J98" s="21">
        <v>0</v>
      </c>
      <c r="K98" s="21">
        <v>0</v>
      </c>
      <c r="L98" s="22">
        <f t="shared" si="4"/>
        <v>0</v>
      </c>
    </row>
    <row r="99" spans="1:12" x14ac:dyDescent="0.25">
      <c r="A99" t="s">
        <v>190</v>
      </c>
      <c r="B99" t="s">
        <v>191</v>
      </c>
      <c r="C99" s="22">
        <v>274561</v>
      </c>
      <c r="D99" s="22">
        <v>243970</v>
      </c>
      <c r="E99" s="22">
        <v>136816</v>
      </c>
      <c r="F99" s="22">
        <v>154961</v>
      </c>
      <c r="G99" s="22">
        <v>74368</v>
      </c>
      <c r="H99" s="21">
        <v>99150</v>
      </c>
      <c r="I99" s="21"/>
      <c r="J99" s="21">
        <v>99000</v>
      </c>
      <c r="K99" s="21">
        <v>0</v>
      </c>
      <c r="L99" s="22">
        <f t="shared" si="4"/>
        <v>99000</v>
      </c>
    </row>
    <row r="100" spans="1:12" x14ac:dyDescent="0.25">
      <c r="A100" t="s">
        <v>192</v>
      </c>
      <c r="B100" t="s">
        <v>193</v>
      </c>
      <c r="C100" s="22">
        <v>0</v>
      </c>
      <c r="D100" s="22">
        <v>1000</v>
      </c>
      <c r="E100" s="22">
        <v>0</v>
      </c>
      <c r="F100" s="22">
        <v>0</v>
      </c>
      <c r="G100" s="22">
        <v>0</v>
      </c>
      <c r="H100" s="21">
        <v>0</v>
      </c>
      <c r="I100" s="21"/>
      <c r="J100" s="21">
        <v>0</v>
      </c>
      <c r="K100" s="21">
        <v>0</v>
      </c>
      <c r="L100" s="22">
        <f t="shared" si="4"/>
        <v>0</v>
      </c>
    </row>
    <row r="101" spans="1:12" x14ac:dyDescent="0.25">
      <c r="A101" t="s">
        <v>194</v>
      </c>
      <c r="B101" t="s">
        <v>195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1">
        <v>0</v>
      </c>
      <c r="I101" s="21"/>
      <c r="J101" s="21">
        <v>0</v>
      </c>
      <c r="K101" s="21">
        <v>0</v>
      </c>
      <c r="L101" s="22">
        <f t="shared" si="4"/>
        <v>0</v>
      </c>
    </row>
    <row r="102" spans="1:12" x14ac:dyDescent="0.25">
      <c r="A102" t="s">
        <v>196</v>
      </c>
      <c r="B102" t="s">
        <v>197</v>
      </c>
      <c r="C102" s="22">
        <v>55774</v>
      </c>
      <c r="D102" s="22">
        <v>49434</v>
      </c>
      <c r="E102" s="22">
        <v>21048</v>
      </c>
      <c r="F102" s="22">
        <v>18931</v>
      </c>
      <c r="G102" s="22">
        <v>13097.55</v>
      </c>
      <c r="H102" s="21">
        <v>17250</v>
      </c>
      <c r="I102" s="21"/>
      <c r="J102" s="21">
        <v>17000</v>
      </c>
      <c r="K102" s="21">
        <v>0</v>
      </c>
      <c r="L102" s="22">
        <f t="shared" si="4"/>
        <v>17000</v>
      </c>
    </row>
    <row r="103" spans="1:12" x14ac:dyDescent="0.25">
      <c r="A103" t="s">
        <v>198</v>
      </c>
      <c r="B103" t="s">
        <v>199</v>
      </c>
      <c r="C103" s="22">
        <v>50573</v>
      </c>
      <c r="D103" s="22">
        <v>29655</v>
      </c>
      <c r="E103" s="22">
        <v>18423</v>
      </c>
      <c r="F103" s="22">
        <v>18231</v>
      </c>
      <c r="G103" s="22">
        <v>9247.5499999999993</v>
      </c>
      <c r="H103" s="21">
        <v>12250</v>
      </c>
      <c r="I103" s="21"/>
      <c r="J103" s="21">
        <v>12250</v>
      </c>
      <c r="K103" s="21">
        <v>0</v>
      </c>
      <c r="L103" s="22">
        <f t="shared" si="4"/>
        <v>12250</v>
      </c>
    </row>
    <row r="104" spans="1:12" x14ac:dyDescent="0.25">
      <c r="A104" t="s">
        <v>200</v>
      </c>
      <c r="B104" t="s">
        <v>201</v>
      </c>
      <c r="C104" s="22">
        <v>52205</v>
      </c>
      <c r="D104" s="22">
        <v>30013</v>
      </c>
      <c r="E104" s="22">
        <v>20748</v>
      </c>
      <c r="F104" s="22">
        <v>21331</v>
      </c>
      <c r="G104" s="22">
        <v>9422.5499999999993</v>
      </c>
      <c r="H104" s="21">
        <v>12500</v>
      </c>
      <c r="I104" s="21"/>
      <c r="J104" s="21">
        <v>12500</v>
      </c>
      <c r="K104" s="21">
        <v>0</v>
      </c>
      <c r="L104" s="22">
        <f t="shared" si="4"/>
        <v>12500</v>
      </c>
    </row>
    <row r="105" spans="1:12" x14ac:dyDescent="0.25">
      <c r="A105" t="s">
        <v>202</v>
      </c>
      <c r="B105" t="s">
        <v>203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1">
        <v>0</v>
      </c>
      <c r="I105" s="21"/>
      <c r="J105" s="21">
        <v>0</v>
      </c>
      <c r="K105" s="21">
        <v>0</v>
      </c>
      <c r="L105" s="22">
        <f t="shared" si="4"/>
        <v>0</v>
      </c>
    </row>
    <row r="106" spans="1:12" x14ac:dyDescent="0.25">
      <c r="A106" t="s">
        <v>204</v>
      </c>
      <c r="B106" t="s">
        <v>205</v>
      </c>
      <c r="C106" s="22">
        <v>0</v>
      </c>
      <c r="D106" s="22">
        <v>0</v>
      </c>
      <c r="E106" s="22">
        <v>23400</v>
      </c>
      <c r="F106" s="22">
        <v>0</v>
      </c>
      <c r="G106" s="22">
        <v>0</v>
      </c>
      <c r="H106" s="21">
        <v>0</v>
      </c>
      <c r="I106" s="21"/>
      <c r="J106" s="21">
        <v>0</v>
      </c>
      <c r="K106" s="21">
        <v>0</v>
      </c>
      <c r="L106" s="22">
        <f t="shared" si="4"/>
        <v>0</v>
      </c>
    </row>
    <row r="107" spans="1:12" x14ac:dyDescent="0.25">
      <c r="A107" t="s">
        <v>206</v>
      </c>
      <c r="B107" t="s">
        <v>207</v>
      </c>
      <c r="C107" s="22">
        <v>11000</v>
      </c>
      <c r="D107" s="22">
        <v>6000</v>
      </c>
      <c r="E107" s="22">
        <v>2000</v>
      </c>
      <c r="F107" s="22">
        <v>2000</v>
      </c>
      <c r="G107" s="22">
        <v>0</v>
      </c>
      <c r="H107" s="21">
        <v>0</v>
      </c>
      <c r="I107" s="21"/>
      <c r="J107" s="21">
        <v>0</v>
      </c>
      <c r="K107" s="21">
        <v>0</v>
      </c>
      <c r="L107" s="22">
        <f t="shared" si="4"/>
        <v>0</v>
      </c>
    </row>
    <row r="108" spans="1:12" x14ac:dyDescent="0.25">
      <c r="A108" t="s">
        <v>208</v>
      </c>
      <c r="B108" t="s">
        <v>209</v>
      </c>
      <c r="C108" s="22">
        <v>484390</v>
      </c>
      <c r="D108" s="22">
        <v>191500</v>
      </c>
      <c r="E108" s="22">
        <v>100725</v>
      </c>
      <c r="F108" s="22">
        <v>74225</v>
      </c>
      <c r="G108" s="22">
        <v>16550</v>
      </c>
      <c r="H108" s="21">
        <v>17000</v>
      </c>
      <c r="I108" s="21"/>
      <c r="J108" s="21">
        <v>17000</v>
      </c>
      <c r="K108" s="21">
        <v>0</v>
      </c>
      <c r="L108" s="22">
        <f t="shared" si="4"/>
        <v>17000</v>
      </c>
    </row>
    <row r="109" spans="1:12" x14ac:dyDescent="0.25">
      <c r="A109" t="s">
        <v>210</v>
      </c>
      <c r="B109" t="s">
        <v>89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1">
        <v>0</v>
      </c>
      <c r="I109" s="21"/>
      <c r="J109" s="21">
        <v>0</v>
      </c>
      <c r="K109" s="21">
        <v>0</v>
      </c>
      <c r="L109" s="22">
        <f t="shared" si="4"/>
        <v>0</v>
      </c>
    </row>
    <row r="110" spans="1:12" x14ac:dyDescent="0.25">
      <c r="A110" t="s">
        <v>211</v>
      </c>
      <c r="B110" t="s">
        <v>212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1">
        <v>0</v>
      </c>
      <c r="I110" s="21"/>
      <c r="J110" s="21">
        <v>0</v>
      </c>
      <c r="K110" s="21">
        <v>0</v>
      </c>
      <c r="L110" s="22">
        <f t="shared" si="4"/>
        <v>0</v>
      </c>
    </row>
    <row r="111" spans="1:12" x14ac:dyDescent="0.25">
      <c r="A111" t="s">
        <v>213</v>
      </c>
      <c r="B111" t="s">
        <v>214</v>
      </c>
      <c r="C111" s="22">
        <v>45389</v>
      </c>
      <c r="D111" s="22">
        <v>22650</v>
      </c>
      <c r="E111" s="22">
        <v>18220</v>
      </c>
      <c r="F111" s="22">
        <v>19227</v>
      </c>
      <c r="G111" s="22">
        <v>2900</v>
      </c>
      <c r="H111" s="21">
        <v>3800</v>
      </c>
      <c r="I111" s="21"/>
      <c r="J111" s="21">
        <v>4000</v>
      </c>
      <c r="K111" s="21">
        <v>0</v>
      </c>
      <c r="L111" s="22">
        <f t="shared" si="4"/>
        <v>4000</v>
      </c>
    </row>
    <row r="112" spans="1:12" x14ac:dyDescent="0.25">
      <c r="A112" t="s">
        <v>215</v>
      </c>
      <c r="B112" t="s">
        <v>216</v>
      </c>
      <c r="C112" s="22">
        <v>2750</v>
      </c>
      <c r="D112" s="22">
        <v>0</v>
      </c>
      <c r="E112" s="22">
        <v>0</v>
      </c>
      <c r="F112" s="22">
        <v>0</v>
      </c>
      <c r="G112" s="22">
        <v>0</v>
      </c>
      <c r="H112" s="21">
        <v>0</v>
      </c>
      <c r="I112" s="21"/>
      <c r="J112" s="21">
        <v>0</v>
      </c>
      <c r="K112" s="21">
        <v>0</v>
      </c>
      <c r="L112" s="22">
        <f t="shared" si="4"/>
        <v>0</v>
      </c>
    </row>
    <row r="113" spans="1:12" x14ac:dyDescent="0.25">
      <c r="A113" t="s">
        <v>218</v>
      </c>
      <c r="B113" t="s">
        <v>219</v>
      </c>
      <c r="C113" s="22">
        <v>42156</v>
      </c>
      <c r="D113" s="22">
        <v>145352</v>
      </c>
      <c r="E113" s="22">
        <v>184249</v>
      </c>
      <c r="F113" s="22">
        <v>134612</v>
      </c>
      <c r="G113" s="22">
        <v>96484.57</v>
      </c>
      <c r="H113" s="21">
        <v>125000</v>
      </c>
      <c r="I113" s="21"/>
      <c r="J113" s="21">
        <v>125000</v>
      </c>
      <c r="K113" s="21">
        <v>0</v>
      </c>
      <c r="L113" s="22">
        <f t="shared" si="4"/>
        <v>125000</v>
      </c>
    </row>
    <row r="114" spans="1:12" x14ac:dyDescent="0.25">
      <c r="A114" t="s">
        <v>220</v>
      </c>
      <c r="B114" t="s">
        <v>221</v>
      </c>
      <c r="C114" s="22">
        <v>0</v>
      </c>
      <c r="D114" s="22">
        <v>3091</v>
      </c>
      <c r="E114" s="22">
        <v>827</v>
      </c>
      <c r="F114" s="22">
        <v>0</v>
      </c>
      <c r="G114" s="22">
        <v>0</v>
      </c>
      <c r="H114" s="21">
        <v>0</v>
      </c>
      <c r="I114" s="21"/>
      <c r="J114" s="21">
        <v>0</v>
      </c>
      <c r="K114" s="21">
        <v>0</v>
      </c>
      <c r="L114" s="22">
        <f t="shared" si="4"/>
        <v>0</v>
      </c>
    </row>
    <row r="115" spans="1:12" x14ac:dyDescent="0.25">
      <c r="A115" t="s">
        <v>222</v>
      </c>
      <c r="B115" t="s">
        <v>223</v>
      </c>
      <c r="C115" s="22">
        <v>19360</v>
      </c>
      <c r="D115" s="22">
        <v>19505</v>
      </c>
      <c r="E115" s="22">
        <v>17500</v>
      </c>
      <c r="F115" s="22">
        <v>18000</v>
      </c>
      <c r="G115" s="22">
        <v>16400</v>
      </c>
      <c r="H115" s="21">
        <v>19000</v>
      </c>
      <c r="I115" s="21"/>
      <c r="J115" s="21">
        <v>20000</v>
      </c>
      <c r="K115" s="21">
        <v>0</v>
      </c>
      <c r="L115" s="22">
        <f t="shared" si="4"/>
        <v>20000</v>
      </c>
    </row>
    <row r="116" spans="1:12" x14ac:dyDescent="0.25">
      <c r="A116" t="s">
        <v>224</v>
      </c>
      <c r="B116" t="s">
        <v>69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1">
        <v>0</v>
      </c>
      <c r="I116" s="21"/>
      <c r="J116" s="21">
        <v>0</v>
      </c>
      <c r="K116" s="21">
        <v>0</v>
      </c>
      <c r="L116" s="22">
        <f t="shared" si="4"/>
        <v>0</v>
      </c>
    </row>
    <row r="117" spans="1:12" x14ac:dyDescent="0.25">
      <c r="C117" s="22"/>
      <c r="D117" s="22"/>
      <c r="E117" s="22"/>
      <c r="F117" s="22"/>
      <c r="G117" s="22"/>
      <c r="H117" s="22"/>
      <c r="I117" s="22"/>
      <c r="J117" s="21"/>
      <c r="K117" s="22"/>
      <c r="L117" s="22"/>
    </row>
    <row r="118" spans="1:12" x14ac:dyDescent="0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</row>
    <row r="119" spans="1:12" x14ac:dyDescent="0.25">
      <c r="A119" t="s">
        <v>109</v>
      </c>
      <c r="C119" s="22"/>
      <c r="D119" s="22"/>
      <c r="E119" s="22"/>
      <c r="F119" s="22"/>
      <c r="G119" s="22"/>
      <c r="H119" s="22"/>
      <c r="I119" s="22"/>
      <c r="J119" s="22"/>
      <c r="K119" s="22"/>
      <c r="L119" s="22"/>
    </row>
    <row r="120" spans="1:12" x14ac:dyDescent="0.25">
      <c r="B120" t="s">
        <v>225</v>
      </c>
      <c r="C120" s="22">
        <f t="shared" ref="C120:H120" si="5">SUM(C81:C116)</f>
        <v>2614292</v>
      </c>
      <c r="D120" s="22">
        <f t="shared" si="5"/>
        <v>1921093</v>
      </c>
      <c r="E120" s="22">
        <f t="shared" si="5"/>
        <v>1408848</v>
      </c>
      <c r="F120" s="22">
        <f t="shared" si="5"/>
        <v>1283580</v>
      </c>
      <c r="G120" s="22">
        <f t="shared" si="5"/>
        <v>691137.2100000002</v>
      </c>
      <c r="H120" s="22">
        <f t="shared" si="5"/>
        <v>892451</v>
      </c>
      <c r="I120" s="22"/>
      <c r="J120" s="22">
        <f>SUM(J81:J116)</f>
        <v>893350</v>
      </c>
      <c r="K120" s="22">
        <f>SUM(K81:K116)</f>
        <v>0</v>
      </c>
      <c r="L120" s="22">
        <f>SUM(L81:L116)</f>
        <v>893350</v>
      </c>
    </row>
    <row r="121" spans="1:12" x14ac:dyDescent="0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</row>
    <row r="122" spans="1:12" x14ac:dyDescent="0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1:12" x14ac:dyDescent="0.25">
      <c r="A123" t="s">
        <v>262</v>
      </c>
      <c r="C123" s="22"/>
      <c r="D123" s="22"/>
      <c r="E123" s="22"/>
      <c r="F123" s="22"/>
      <c r="G123" s="22"/>
      <c r="H123" s="22"/>
      <c r="I123" s="22"/>
      <c r="J123" s="22"/>
      <c r="K123" s="22"/>
      <c r="L123" s="22"/>
    </row>
    <row r="124" spans="1:12" x14ac:dyDescent="0.25">
      <c r="A124" t="s">
        <v>18</v>
      </c>
      <c r="B124" t="s">
        <v>228</v>
      </c>
      <c r="C124" s="22"/>
      <c r="D124" s="22"/>
      <c r="E124" s="22"/>
      <c r="F124" s="22"/>
      <c r="G124" s="22"/>
      <c r="H124" s="22"/>
      <c r="I124" s="22"/>
      <c r="J124" s="22"/>
      <c r="K124" s="22"/>
      <c r="L124" s="22"/>
    </row>
    <row r="125" spans="1:12" x14ac:dyDescent="0.25">
      <c r="A125" t="s">
        <v>229</v>
      </c>
      <c r="B125" t="s">
        <v>156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1">
        <v>0</v>
      </c>
      <c r="I125" s="21"/>
      <c r="J125" s="21">
        <v>0</v>
      </c>
      <c r="K125" s="21">
        <v>0</v>
      </c>
      <c r="L125" s="22">
        <f>SUM(J125+K125)</f>
        <v>0</v>
      </c>
    </row>
    <row r="126" spans="1:12" x14ac:dyDescent="0.25">
      <c r="A126" t="s">
        <v>230</v>
      </c>
      <c r="B126" t="s">
        <v>231</v>
      </c>
      <c r="C126" s="22">
        <v>109220</v>
      </c>
      <c r="D126" s="22">
        <v>118361</v>
      </c>
      <c r="E126" s="22">
        <v>149201</v>
      </c>
      <c r="F126" s="22">
        <v>116792</v>
      </c>
      <c r="G126" s="22">
        <v>158913.96</v>
      </c>
      <c r="H126" s="21">
        <v>161000</v>
      </c>
      <c r="I126" s="21"/>
      <c r="J126" s="21">
        <v>170000</v>
      </c>
      <c r="K126" s="21">
        <v>0</v>
      </c>
      <c r="L126" s="22">
        <f t="shared" ref="L126:L141" si="6">SUM(J126+K126)</f>
        <v>170000</v>
      </c>
    </row>
    <row r="127" spans="1:12" x14ac:dyDescent="0.25">
      <c r="A127" t="s">
        <v>232</v>
      </c>
      <c r="B127" t="s">
        <v>233</v>
      </c>
      <c r="C127" s="22">
        <v>3242</v>
      </c>
      <c r="D127" s="22">
        <v>4228</v>
      </c>
      <c r="E127" s="22">
        <v>5818</v>
      </c>
      <c r="F127" s="22">
        <v>4478</v>
      </c>
      <c r="G127" s="22">
        <v>5493.59</v>
      </c>
      <c r="H127" s="21">
        <v>6000</v>
      </c>
      <c r="I127" s="21"/>
      <c r="J127" s="21">
        <v>6000</v>
      </c>
      <c r="K127" s="21">
        <v>0</v>
      </c>
      <c r="L127" s="22">
        <f t="shared" si="6"/>
        <v>6000</v>
      </c>
    </row>
    <row r="128" spans="1:12" x14ac:dyDescent="0.25">
      <c r="A128" t="s">
        <v>234</v>
      </c>
      <c r="B128" t="s">
        <v>235</v>
      </c>
      <c r="C128" s="22">
        <v>0</v>
      </c>
      <c r="D128" s="22">
        <v>0</v>
      </c>
      <c r="E128" s="22">
        <v>0</v>
      </c>
      <c r="F128" s="22">
        <v>0</v>
      </c>
      <c r="G128" s="22">
        <v>0</v>
      </c>
      <c r="H128" s="21">
        <v>0</v>
      </c>
      <c r="I128" s="21"/>
      <c r="J128" s="21">
        <v>0</v>
      </c>
      <c r="K128" s="21">
        <v>0</v>
      </c>
      <c r="L128" s="22">
        <f t="shared" si="6"/>
        <v>0</v>
      </c>
    </row>
    <row r="129" spans="1:12" x14ac:dyDescent="0.25">
      <c r="A129" t="s">
        <v>236</v>
      </c>
      <c r="B129" t="s">
        <v>237</v>
      </c>
      <c r="C129" s="22">
        <v>4914</v>
      </c>
      <c r="D129" s="22">
        <v>6489</v>
      </c>
      <c r="E129" s="22">
        <v>6969</v>
      </c>
      <c r="F129" s="22">
        <v>6969</v>
      </c>
      <c r="G129" s="22">
        <v>5161.6499999999996</v>
      </c>
      <c r="H129" s="21">
        <v>10000</v>
      </c>
      <c r="I129" s="21"/>
      <c r="J129" s="21">
        <v>10000</v>
      </c>
      <c r="K129" s="21">
        <v>0</v>
      </c>
      <c r="L129" s="22">
        <f t="shared" si="6"/>
        <v>10000</v>
      </c>
    </row>
    <row r="130" spans="1:12" x14ac:dyDescent="0.25">
      <c r="A130" t="s">
        <v>238</v>
      </c>
      <c r="B130" t="s">
        <v>239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1">
        <v>0</v>
      </c>
      <c r="I130" s="21"/>
      <c r="J130" s="21">
        <v>0</v>
      </c>
      <c r="K130" s="21">
        <v>0</v>
      </c>
      <c r="L130" s="22">
        <f t="shared" si="6"/>
        <v>0</v>
      </c>
    </row>
    <row r="131" spans="1:12" x14ac:dyDescent="0.25">
      <c r="A131" t="s">
        <v>240</v>
      </c>
      <c r="B131" t="s">
        <v>241</v>
      </c>
      <c r="C131" s="22">
        <v>3106</v>
      </c>
      <c r="D131" s="22">
        <v>4115</v>
      </c>
      <c r="E131" s="22">
        <v>4771</v>
      </c>
      <c r="F131" s="22">
        <v>4393</v>
      </c>
      <c r="G131" s="22">
        <v>0</v>
      </c>
      <c r="H131" s="21">
        <v>4393</v>
      </c>
      <c r="I131" s="21"/>
      <c r="J131" s="21">
        <v>5000</v>
      </c>
      <c r="K131" s="21">
        <v>0</v>
      </c>
      <c r="L131" s="22">
        <f t="shared" si="6"/>
        <v>5000</v>
      </c>
    </row>
    <row r="132" spans="1:12" x14ac:dyDescent="0.25">
      <c r="A132" t="s">
        <v>242</v>
      </c>
      <c r="B132" t="s">
        <v>243</v>
      </c>
      <c r="C132" s="22">
        <v>2704</v>
      </c>
      <c r="D132" s="22">
        <v>3463</v>
      </c>
      <c r="E132" s="22">
        <v>3958</v>
      </c>
      <c r="F132" s="22">
        <v>3650</v>
      </c>
      <c r="G132" s="22">
        <v>0</v>
      </c>
      <c r="H132" s="21">
        <v>3650</v>
      </c>
      <c r="I132" s="21"/>
      <c r="J132" s="21">
        <v>4000</v>
      </c>
      <c r="K132" s="21">
        <v>0</v>
      </c>
      <c r="L132" s="22">
        <f t="shared" si="6"/>
        <v>4000</v>
      </c>
    </row>
    <row r="133" spans="1:12" x14ac:dyDescent="0.25">
      <c r="A133" t="s">
        <v>244</v>
      </c>
      <c r="B133" t="s">
        <v>245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1">
        <v>0</v>
      </c>
      <c r="I133" s="21"/>
      <c r="J133" s="21">
        <v>0</v>
      </c>
      <c r="K133" s="21">
        <v>0</v>
      </c>
      <c r="L133" s="22">
        <f t="shared" si="6"/>
        <v>0</v>
      </c>
    </row>
    <row r="134" spans="1:12" x14ac:dyDescent="0.25">
      <c r="A134" t="s">
        <v>246</v>
      </c>
      <c r="B134" t="s">
        <v>247</v>
      </c>
      <c r="C134" s="22">
        <v>0</v>
      </c>
      <c r="D134" s="22">
        <v>0</v>
      </c>
      <c r="E134" s="22">
        <v>0</v>
      </c>
      <c r="F134" s="22">
        <v>0</v>
      </c>
      <c r="G134" s="22">
        <v>0</v>
      </c>
      <c r="H134" s="21">
        <v>0</v>
      </c>
      <c r="I134" s="21"/>
      <c r="J134" s="21">
        <v>0</v>
      </c>
      <c r="K134" s="21">
        <v>0</v>
      </c>
      <c r="L134" s="22">
        <f t="shared" si="6"/>
        <v>0</v>
      </c>
    </row>
    <row r="135" spans="1:12" x14ac:dyDescent="0.25">
      <c r="A135" t="s">
        <v>248</v>
      </c>
      <c r="B135" t="s">
        <v>249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1">
        <v>0</v>
      </c>
      <c r="I135" s="21"/>
      <c r="J135" s="21">
        <v>0</v>
      </c>
      <c r="K135" s="21">
        <v>0</v>
      </c>
      <c r="L135" s="22">
        <f t="shared" si="6"/>
        <v>0</v>
      </c>
    </row>
    <row r="136" spans="1:12" x14ac:dyDescent="0.25">
      <c r="A136" t="s">
        <v>250</v>
      </c>
      <c r="B136" t="s">
        <v>251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1">
        <v>0</v>
      </c>
      <c r="I136" s="21"/>
      <c r="J136" s="21">
        <v>0</v>
      </c>
      <c r="K136" s="21">
        <v>0</v>
      </c>
      <c r="L136" s="22">
        <f t="shared" si="6"/>
        <v>0</v>
      </c>
    </row>
    <row r="137" spans="1:12" x14ac:dyDescent="0.25">
      <c r="A137" t="s">
        <v>252</v>
      </c>
      <c r="B137" t="s">
        <v>253</v>
      </c>
      <c r="C137" s="22">
        <v>0</v>
      </c>
      <c r="D137" s="22">
        <v>0</v>
      </c>
      <c r="E137" s="22">
        <v>0</v>
      </c>
      <c r="F137" s="22">
        <v>0</v>
      </c>
      <c r="G137" s="22">
        <v>0</v>
      </c>
      <c r="H137" s="21">
        <v>0</v>
      </c>
      <c r="I137" s="21"/>
      <c r="J137" s="21">
        <v>0</v>
      </c>
      <c r="K137" s="21">
        <v>0</v>
      </c>
      <c r="L137" s="22">
        <f t="shared" si="6"/>
        <v>0</v>
      </c>
    </row>
    <row r="138" spans="1:12" x14ac:dyDescent="0.25">
      <c r="A138" t="s">
        <v>254</v>
      </c>
      <c r="B138" t="s">
        <v>255</v>
      </c>
      <c r="C138" s="22">
        <v>59</v>
      </c>
      <c r="D138" s="22">
        <v>33</v>
      </c>
      <c r="E138" s="22">
        <v>19</v>
      </c>
      <c r="F138" s="22">
        <v>19</v>
      </c>
      <c r="G138" s="22">
        <v>7.8</v>
      </c>
      <c r="H138" s="21">
        <v>19</v>
      </c>
      <c r="I138" s="21"/>
      <c r="J138" s="21">
        <v>20</v>
      </c>
      <c r="K138" s="21">
        <v>0</v>
      </c>
      <c r="L138" s="22">
        <f t="shared" si="6"/>
        <v>20</v>
      </c>
    </row>
    <row r="139" spans="1:12" x14ac:dyDescent="0.25">
      <c r="A139" t="s">
        <v>256</v>
      </c>
      <c r="B139" t="s">
        <v>257</v>
      </c>
      <c r="C139" s="22">
        <v>0</v>
      </c>
      <c r="D139" s="22">
        <v>0</v>
      </c>
      <c r="E139" s="22">
        <v>0</v>
      </c>
      <c r="F139" s="22">
        <v>0</v>
      </c>
      <c r="G139" s="22">
        <v>0</v>
      </c>
      <c r="H139" s="21">
        <v>0</v>
      </c>
      <c r="I139" s="21"/>
      <c r="J139" s="21">
        <v>0</v>
      </c>
      <c r="K139" s="21">
        <v>0</v>
      </c>
      <c r="L139" s="22">
        <f t="shared" si="6"/>
        <v>0</v>
      </c>
    </row>
    <row r="140" spans="1:12" x14ac:dyDescent="0.25">
      <c r="A140" t="s">
        <v>258</v>
      </c>
      <c r="B140" t="s">
        <v>259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1">
        <v>0</v>
      </c>
      <c r="I140" s="21"/>
      <c r="J140" s="21">
        <v>0</v>
      </c>
      <c r="K140" s="21">
        <v>0</v>
      </c>
      <c r="L140" s="22">
        <f t="shared" si="6"/>
        <v>0</v>
      </c>
    </row>
    <row r="141" spans="1:12" x14ac:dyDescent="0.25">
      <c r="A141" t="s">
        <v>260</v>
      </c>
      <c r="B141" t="s">
        <v>261</v>
      </c>
      <c r="C141" s="22">
        <v>0</v>
      </c>
      <c r="D141" s="22">
        <v>40</v>
      </c>
      <c r="E141" s="22">
        <v>0</v>
      </c>
      <c r="F141" s="22">
        <v>0</v>
      </c>
      <c r="G141" s="22">
        <v>0</v>
      </c>
      <c r="H141" s="21">
        <v>0</v>
      </c>
      <c r="I141" s="21"/>
      <c r="J141" s="21">
        <v>0</v>
      </c>
      <c r="K141" s="21">
        <v>0</v>
      </c>
      <c r="L141" s="22">
        <f t="shared" si="6"/>
        <v>0</v>
      </c>
    </row>
    <row r="142" spans="1:12" x14ac:dyDescent="0.25">
      <c r="C142" s="22"/>
      <c r="D142" s="22"/>
      <c r="E142" s="22"/>
      <c r="F142" s="22"/>
      <c r="G142" s="22"/>
      <c r="H142" s="22"/>
      <c r="I142" s="22"/>
      <c r="J142" s="22"/>
      <c r="K142" s="22"/>
      <c r="L142" s="22"/>
    </row>
    <row r="143" spans="1:12" x14ac:dyDescent="0.25">
      <c r="C143" s="22"/>
      <c r="D143" s="22"/>
      <c r="E143" s="22"/>
      <c r="F143" s="22"/>
      <c r="G143" s="22"/>
      <c r="H143" s="22"/>
      <c r="I143" s="22"/>
      <c r="J143" s="22"/>
      <c r="K143" s="22"/>
      <c r="L143" s="22"/>
    </row>
    <row r="144" spans="1:12" x14ac:dyDescent="0.25">
      <c r="A144" t="s">
        <v>109</v>
      </c>
      <c r="C144" s="22"/>
      <c r="D144" s="22"/>
      <c r="E144" s="22"/>
      <c r="F144" s="22"/>
      <c r="G144" s="22"/>
      <c r="H144" s="22"/>
      <c r="I144" s="22"/>
      <c r="J144" s="22"/>
      <c r="K144" s="22"/>
      <c r="L144" s="22"/>
    </row>
    <row r="145" spans="1:12" x14ac:dyDescent="0.25">
      <c r="B145" t="s">
        <v>262</v>
      </c>
      <c r="C145" s="22">
        <f t="shared" ref="C145:H145" si="7">SUM(C125:C141)</f>
        <v>123245</v>
      </c>
      <c r="D145" s="22">
        <f t="shared" si="7"/>
        <v>136729</v>
      </c>
      <c r="E145" s="22">
        <f t="shared" si="7"/>
        <v>170736</v>
      </c>
      <c r="F145" s="22">
        <f t="shared" si="7"/>
        <v>136301</v>
      </c>
      <c r="G145" s="22">
        <f t="shared" si="7"/>
        <v>169576.99999999997</v>
      </c>
      <c r="H145" s="22">
        <f t="shared" si="7"/>
        <v>185062</v>
      </c>
      <c r="I145" s="22"/>
      <c r="J145" s="22">
        <f>SUM(J125:J141)</f>
        <v>195020</v>
      </c>
      <c r="K145" s="22">
        <f>SUM(K125:K141)</f>
        <v>0</v>
      </c>
      <c r="L145" s="22">
        <f>SUM(L125:L141)</f>
        <v>195020</v>
      </c>
    </row>
    <row r="146" spans="1:12" x14ac:dyDescent="0.25">
      <c r="C146" s="22"/>
      <c r="D146" s="22"/>
      <c r="E146" s="22"/>
      <c r="F146" s="22"/>
      <c r="G146" s="22"/>
      <c r="H146" s="22"/>
      <c r="I146" s="22"/>
      <c r="J146" s="22"/>
      <c r="K146" s="22"/>
      <c r="L146" s="22"/>
    </row>
    <row r="147" spans="1:12" x14ac:dyDescent="0.25">
      <c r="C147" s="22"/>
      <c r="D147" s="22"/>
      <c r="E147" s="22"/>
      <c r="F147" s="22"/>
      <c r="G147" s="22"/>
      <c r="H147" s="22"/>
      <c r="I147" s="22"/>
      <c r="J147" s="22"/>
      <c r="K147" s="22"/>
      <c r="L147" s="22"/>
    </row>
    <row r="148" spans="1:12" x14ac:dyDescent="0.25">
      <c r="A148" t="s">
        <v>294</v>
      </c>
      <c r="C148" s="22"/>
      <c r="D148" s="22"/>
      <c r="E148" s="22"/>
      <c r="F148" s="22"/>
      <c r="G148" s="22"/>
      <c r="H148" s="22"/>
      <c r="I148" s="22"/>
      <c r="J148" s="22"/>
      <c r="K148" s="22"/>
      <c r="L148" s="22"/>
    </row>
    <row r="149" spans="1:12" x14ac:dyDescent="0.25">
      <c r="A149" t="s">
        <v>18</v>
      </c>
      <c r="B149" t="s">
        <v>22</v>
      </c>
      <c r="C149" s="22"/>
      <c r="D149" s="22"/>
      <c r="E149" s="22"/>
      <c r="F149" s="22"/>
      <c r="G149" s="22"/>
      <c r="H149" s="22"/>
      <c r="I149" s="22"/>
      <c r="J149" s="22"/>
      <c r="K149" s="22"/>
      <c r="L149" s="22"/>
    </row>
    <row r="150" spans="1:12" x14ac:dyDescent="0.25">
      <c r="A150" t="s">
        <v>265</v>
      </c>
      <c r="B150" t="s">
        <v>266</v>
      </c>
      <c r="C150" s="22">
        <v>0</v>
      </c>
      <c r="D150" s="22">
        <v>0</v>
      </c>
      <c r="E150" s="22">
        <v>100303</v>
      </c>
      <c r="F150" s="22">
        <v>100000</v>
      </c>
      <c r="G150" s="22">
        <v>0</v>
      </c>
      <c r="H150" s="21">
        <v>101000</v>
      </c>
      <c r="I150" s="21"/>
      <c r="J150" s="21">
        <v>240000</v>
      </c>
      <c r="K150" s="21">
        <v>0</v>
      </c>
      <c r="L150" s="22">
        <f>SUM(J150+K150)</f>
        <v>240000</v>
      </c>
    </row>
    <row r="151" spans="1:12" x14ac:dyDescent="0.25">
      <c r="A151" t="s">
        <v>267</v>
      </c>
      <c r="B151" t="s">
        <v>268</v>
      </c>
      <c r="C151" s="22">
        <v>8268</v>
      </c>
      <c r="D151" s="22">
        <v>8513</v>
      </c>
      <c r="E151" s="22">
        <v>8561</v>
      </c>
      <c r="F151" s="22">
        <v>8449</v>
      </c>
      <c r="G151" s="22">
        <v>6407.68</v>
      </c>
      <c r="H151" s="21">
        <v>8500</v>
      </c>
      <c r="I151" s="21"/>
      <c r="J151" s="21">
        <v>8500</v>
      </c>
      <c r="K151" s="21">
        <v>0</v>
      </c>
      <c r="L151" s="22">
        <f t="shared" ref="L151:L164" si="8">SUM(J151+K151)</f>
        <v>8500</v>
      </c>
    </row>
    <row r="152" spans="1:12" x14ac:dyDescent="0.25">
      <c r="A152" t="s">
        <v>269</v>
      </c>
      <c r="B152" t="s">
        <v>270</v>
      </c>
      <c r="C152" s="22">
        <v>800</v>
      </c>
      <c r="D152" s="22">
        <v>1500</v>
      </c>
      <c r="E152" s="22">
        <v>900</v>
      </c>
      <c r="F152" s="22">
        <v>800</v>
      </c>
      <c r="G152" s="22">
        <v>400</v>
      </c>
      <c r="H152" s="21">
        <v>400</v>
      </c>
      <c r="I152" s="21"/>
      <c r="J152" s="21">
        <v>400</v>
      </c>
      <c r="K152" s="21">
        <v>0</v>
      </c>
      <c r="L152" s="22">
        <f t="shared" si="8"/>
        <v>400</v>
      </c>
    </row>
    <row r="153" spans="1:12" x14ac:dyDescent="0.25">
      <c r="A153" t="s">
        <v>271</v>
      </c>
      <c r="B153" t="s">
        <v>272</v>
      </c>
      <c r="C153" s="22">
        <v>1215</v>
      </c>
      <c r="D153" s="22">
        <v>740</v>
      </c>
      <c r="E153" s="22">
        <v>745</v>
      </c>
      <c r="F153" s="22">
        <v>1000</v>
      </c>
      <c r="G153" s="22">
        <v>1855</v>
      </c>
      <c r="H153" s="21">
        <v>2000</v>
      </c>
      <c r="I153" s="21"/>
      <c r="J153" s="21">
        <v>2200</v>
      </c>
      <c r="K153" s="21">
        <v>0</v>
      </c>
      <c r="L153" s="22">
        <f t="shared" si="8"/>
        <v>2200</v>
      </c>
    </row>
    <row r="154" spans="1:12" x14ac:dyDescent="0.25">
      <c r="A154" t="s">
        <v>273</v>
      </c>
      <c r="B154" t="s">
        <v>274</v>
      </c>
      <c r="C154" s="22">
        <v>60</v>
      </c>
      <c r="D154" s="22">
        <v>30</v>
      </c>
      <c r="E154" s="22">
        <v>0</v>
      </c>
      <c r="F154" s="22">
        <v>0</v>
      </c>
      <c r="G154" s="22">
        <v>0</v>
      </c>
      <c r="H154" s="21">
        <v>0</v>
      </c>
      <c r="I154" s="21"/>
      <c r="J154" s="21">
        <v>0</v>
      </c>
      <c r="K154" s="21">
        <v>0</v>
      </c>
      <c r="L154" s="22">
        <f t="shared" si="8"/>
        <v>0</v>
      </c>
    </row>
    <row r="155" spans="1:12" x14ac:dyDescent="0.25">
      <c r="A155" t="s">
        <v>275</v>
      </c>
      <c r="B155" t="s">
        <v>276</v>
      </c>
      <c r="C155" s="22">
        <v>142</v>
      </c>
      <c r="D155" s="22">
        <v>221</v>
      </c>
      <c r="E155" s="22">
        <v>0</v>
      </c>
      <c r="F155" s="22">
        <v>0</v>
      </c>
      <c r="G155" s="22">
        <v>0</v>
      </c>
      <c r="H155" s="21">
        <v>0</v>
      </c>
      <c r="I155" s="21"/>
      <c r="J155" s="21">
        <v>0</v>
      </c>
      <c r="K155" s="21">
        <v>0</v>
      </c>
      <c r="L155" s="22">
        <f t="shared" si="8"/>
        <v>0</v>
      </c>
    </row>
    <row r="156" spans="1:12" x14ac:dyDescent="0.25">
      <c r="A156" t="s">
        <v>277</v>
      </c>
      <c r="B156" t="s">
        <v>77</v>
      </c>
      <c r="C156" s="22">
        <v>1230</v>
      </c>
      <c r="D156" s="22">
        <v>8034</v>
      </c>
      <c r="E156" s="22">
        <v>54942</v>
      </c>
      <c r="F156" s="22">
        <v>1500</v>
      </c>
      <c r="G156" s="22">
        <v>32706.31</v>
      </c>
      <c r="H156" s="21">
        <v>33000</v>
      </c>
      <c r="I156" s="21"/>
      <c r="J156" s="21">
        <v>2000</v>
      </c>
      <c r="K156" s="21">
        <v>0</v>
      </c>
      <c r="L156" s="22">
        <f t="shared" si="8"/>
        <v>2000</v>
      </c>
    </row>
    <row r="157" spans="1:12" x14ac:dyDescent="0.25">
      <c r="A157" t="s">
        <v>278</v>
      </c>
      <c r="B157" t="s">
        <v>279</v>
      </c>
      <c r="C157" s="22">
        <v>8600</v>
      </c>
      <c r="D157" s="22">
        <v>8680</v>
      </c>
      <c r="E157" s="22">
        <v>7895</v>
      </c>
      <c r="F157" s="22">
        <v>7607</v>
      </c>
      <c r="G157" s="22">
        <v>6030</v>
      </c>
      <c r="H157" s="21">
        <v>7000</v>
      </c>
      <c r="I157" s="21"/>
      <c r="J157" s="21">
        <v>7000</v>
      </c>
      <c r="K157" s="21">
        <v>0</v>
      </c>
      <c r="L157" s="22">
        <f t="shared" si="8"/>
        <v>7000</v>
      </c>
    </row>
    <row r="158" spans="1:12" x14ac:dyDescent="0.25">
      <c r="A158" t="s">
        <v>280</v>
      </c>
      <c r="B158" t="s">
        <v>281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1">
        <v>0</v>
      </c>
      <c r="I158" s="21"/>
      <c r="J158" s="21">
        <v>0</v>
      </c>
      <c r="K158" s="21">
        <v>0</v>
      </c>
      <c r="L158" s="22">
        <f t="shared" si="8"/>
        <v>0</v>
      </c>
    </row>
    <row r="159" spans="1:12" x14ac:dyDescent="0.25">
      <c r="A159" t="s">
        <v>282</v>
      </c>
      <c r="B159" t="s">
        <v>283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1">
        <v>0</v>
      </c>
      <c r="I159" s="21"/>
      <c r="J159" s="21">
        <v>0</v>
      </c>
      <c r="K159" s="21">
        <v>0</v>
      </c>
      <c r="L159" s="22">
        <f t="shared" si="8"/>
        <v>0</v>
      </c>
    </row>
    <row r="160" spans="1:12" x14ac:dyDescent="0.25">
      <c r="A160" t="s">
        <v>284</v>
      </c>
      <c r="B160" t="s">
        <v>285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1">
        <v>0</v>
      </c>
      <c r="I160" s="21"/>
      <c r="J160" s="21">
        <v>0</v>
      </c>
      <c r="K160" s="21">
        <v>0</v>
      </c>
      <c r="L160" s="22">
        <f t="shared" si="8"/>
        <v>0</v>
      </c>
    </row>
    <row r="161" spans="1:12" x14ac:dyDescent="0.25">
      <c r="A161" t="s">
        <v>286</v>
      </c>
      <c r="B161" t="s">
        <v>287</v>
      </c>
      <c r="C161" s="22">
        <v>0</v>
      </c>
      <c r="D161" s="22">
        <v>0</v>
      </c>
      <c r="E161" s="22">
        <v>0</v>
      </c>
      <c r="F161" s="22">
        <v>0</v>
      </c>
      <c r="G161" s="22">
        <v>0</v>
      </c>
      <c r="H161" s="21">
        <v>0</v>
      </c>
      <c r="I161" s="21"/>
      <c r="J161" s="21">
        <v>0</v>
      </c>
      <c r="K161" s="21">
        <v>0</v>
      </c>
      <c r="L161" s="22">
        <f t="shared" si="8"/>
        <v>0</v>
      </c>
    </row>
    <row r="162" spans="1:12" x14ac:dyDescent="0.25">
      <c r="A162" t="s">
        <v>288</v>
      </c>
      <c r="B162" t="s">
        <v>289</v>
      </c>
      <c r="C162" s="22">
        <v>0</v>
      </c>
      <c r="D162" s="22">
        <v>0</v>
      </c>
      <c r="E162" s="22">
        <v>0</v>
      </c>
      <c r="F162" s="22">
        <v>3588</v>
      </c>
      <c r="G162" s="22">
        <v>0</v>
      </c>
      <c r="H162" s="21">
        <v>0</v>
      </c>
      <c r="I162" s="21"/>
      <c r="J162" s="21">
        <v>0</v>
      </c>
      <c r="K162" s="21">
        <v>0</v>
      </c>
      <c r="L162" s="22">
        <f t="shared" si="8"/>
        <v>0</v>
      </c>
    </row>
    <row r="163" spans="1:12" x14ac:dyDescent="0.25">
      <c r="A163" t="s">
        <v>290</v>
      </c>
      <c r="B163" t="s">
        <v>291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1">
        <v>0</v>
      </c>
      <c r="I163" s="21"/>
      <c r="J163" s="21">
        <v>0</v>
      </c>
      <c r="K163" s="21">
        <v>0</v>
      </c>
      <c r="L163" s="22">
        <f t="shared" si="8"/>
        <v>0</v>
      </c>
    </row>
    <row r="164" spans="1:12" x14ac:dyDescent="0.25">
      <c r="A164" t="s">
        <v>292</v>
      </c>
      <c r="B164" t="s">
        <v>293</v>
      </c>
      <c r="C164" s="22">
        <v>1368</v>
      </c>
      <c r="D164" s="22">
        <v>0</v>
      </c>
      <c r="E164" s="22">
        <v>3588</v>
      </c>
      <c r="F164" s="22">
        <v>42000</v>
      </c>
      <c r="G164" s="22">
        <v>0</v>
      </c>
      <c r="H164" s="21">
        <v>0</v>
      </c>
      <c r="I164" s="21"/>
      <c r="J164" s="21">
        <v>0</v>
      </c>
      <c r="K164" s="21">
        <v>0</v>
      </c>
      <c r="L164" s="22">
        <f t="shared" si="8"/>
        <v>0</v>
      </c>
    </row>
    <row r="165" spans="1:12" x14ac:dyDescent="0.25">
      <c r="C165" s="22"/>
      <c r="D165" s="22"/>
      <c r="E165" s="22"/>
      <c r="F165" s="22"/>
      <c r="G165" s="22"/>
      <c r="H165" s="22"/>
      <c r="I165" s="22"/>
      <c r="J165" s="22"/>
      <c r="K165" s="22"/>
      <c r="L165" s="22"/>
    </row>
    <row r="166" spans="1:12" x14ac:dyDescent="0.25">
      <c r="C166" s="22"/>
      <c r="D166" s="22"/>
      <c r="E166" s="22"/>
      <c r="F166" s="22"/>
      <c r="G166" s="22"/>
      <c r="H166" s="22"/>
      <c r="I166" s="22"/>
      <c r="J166" s="22"/>
      <c r="K166" s="22"/>
      <c r="L166" s="22"/>
    </row>
    <row r="167" spans="1:12" x14ac:dyDescent="0.25">
      <c r="A167" t="s">
        <v>109</v>
      </c>
      <c r="C167" s="22"/>
      <c r="D167" s="22"/>
      <c r="E167" s="22"/>
      <c r="F167" s="22"/>
      <c r="G167" s="22"/>
      <c r="H167" s="22"/>
      <c r="I167" s="22"/>
      <c r="J167" s="22"/>
      <c r="K167" s="22"/>
      <c r="L167" s="22"/>
    </row>
    <row r="168" spans="1:12" x14ac:dyDescent="0.25">
      <c r="B168" t="s">
        <v>294</v>
      </c>
      <c r="C168" s="22">
        <f t="shared" ref="C168:H168" si="9">SUM(C150:C164)</f>
        <v>21683</v>
      </c>
      <c r="D168" s="22">
        <f t="shared" si="9"/>
        <v>27718</v>
      </c>
      <c r="E168" s="22">
        <f t="shared" si="9"/>
        <v>176934</v>
      </c>
      <c r="F168" s="22">
        <f t="shared" si="9"/>
        <v>164944</v>
      </c>
      <c r="G168" s="22">
        <f t="shared" si="9"/>
        <v>47398.990000000005</v>
      </c>
      <c r="H168" s="22">
        <f t="shared" si="9"/>
        <v>151900</v>
      </c>
      <c r="I168" s="22"/>
      <c r="J168" s="22">
        <f>SUM(J150:J164)</f>
        <v>260100</v>
      </c>
      <c r="K168" s="22">
        <f>SUM(K150:K164)</f>
        <v>0</v>
      </c>
      <c r="L168" s="22">
        <f>SUM(L150:L164)</f>
        <v>260100</v>
      </c>
    </row>
    <row r="169" spans="1:12" x14ac:dyDescent="0.25">
      <c r="C169" s="22"/>
      <c r="D169" s="22"/>
      <c r="E169" s="22"/>
      <c r="F169" s="22"/>
      <c r="G169" s="22"/>
      <c r="H169" s="22"/>
      <c r="I169" s="22"/>
      <c r="J169" s="22"/>
      <c r="K169" s="22"/>
      <c r="L169" s="22"/>
    </row>
    <row r="170" spans="1:12" x14ac:dyDescent="0.25">
      <c r="C170" s="22"/>
      <c r="D170" s="22"/>
      <c r="E170" s="22"/>
      <c r="F170" s="22"/>
      <c r="G170" s="22"/>
      <c r="H170" s="22"/>
      <c r="I170" s="22"/>
      <c r="J170" s="22"/>
      <c r="K170" s="22"/>
      <c r="L170" s="22"/>
    </row>
    <row r="171" spans="1:12" x14ac:dyDescent="0.25">
      <c r="A171" t="s">
        <v>317</v>
      </c>
      <c r="C171" s="22"/>
      <c r="D171" s="22"/>
      <c r="E171" s="22"/>
      <c r="F171" s="22"/>
      <c r="G171" s="22"/>
      <c r="H171" s="22"/>
      <c r="I171" s="22"/>
      <c r="J171" s="22"/>
      <c r="K171" s="22"/>
      <c r="L171" s="22"/>
    </row>
    <row r="172" spans="1:12" x14ac:dyDescent="0.25">
      <c r="A172" t="s">
        <v>18</v>
      </c>
      <c r="B172" t="s">
        <v>21</v>
      </c>
      <c r="C172" s="22"/>
      <c r="D172" s="22"/>
      <c r="E172" s="22"/>
      <c r="F172" s="22"/>
      <c r="G172" s="22"/>
      <c r="H172" s="22"/>
      <c r="I172" s="22"/>
      <c r="J172" s="22"/>
      <c r="K172" s="22"/>
      <c r="L172" s="22"/>
    </row>
    <row r="173" spans="1:12" x14ac:dyDescent="0.25">
      <c r="A173" t="s">
        <v>297</v>
      </c>
      <c r="B173" t="s">
        <v>298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1">
        <v>0</v>
      </c>
      <c r="I173" s="21"/>
      <c r="J173" s="21">
        <v>0</v>
      </c>
      <c r="K173" s="21">
        <v>0</v>
      </c>
      <c r="L173" s="22">
        <f>SUM(J173+K173)</f>
        <v>0</v>
      </c>
    </row>
    <row r="174" spans="1:12" x14ac:dyDescent="0.25">
      <c r="A174" t="s">
        <v>299</v>
      </c>
      <c r="B174" t="s">
        <v>300</v>
      </c>
      <c r="C174" s="22">
        <v>21000</v>
      </c>
      <c r="D174" s="22">
        <v>0</v>
      </c>
      <c r="E174" s="22">
        <v>694148</v>
      </c>
      <c r="F174" s="22">
        <v>2000</v>
      </c>
      <c r="G174" s="22">
        <v>36534.160000000003</v>
      </c>
      <c r="H174" s="21">
        <v>36534</v>
      </c>
      <c r="I174" s="21"/>
      <c r="J174" s="21">
        <v>35000</v>
      </c>
      <c r="K174" s="21">
        <v>0</v>
      </c>
      <c r="L174" s="22">
        <f t="shared" ref="L174:L182" si="10">SUM(J174+K174)</f>
        <v>35000</v>
      </c>
    </row>
    <row r="175" spans="1:12" x14ac:dyDescent="0.25">
      <c r="A175" t="s">
        <v>301</v>
      </c>
      <c r="B175" t="s">
        <v>302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1">
        <v>0</v>
      </c>
      <c r="I175" s="21"/>
      <c r="J175" s="21">
        <v>0</v>
      </c>
      <c r="K175" s="21">
        <v>0</v>
      </c>
      <c r="L175" s="22">
        <f t="shared" si="10"/>
        <v>0</v>
      </c>
    </row>
    <row r="176" spans="1:12" x14ac:dyDescent="0.25">
      <c r="A176" t="s">
        <v>303</v>
      </c>
      <c r="B176" t="s">
        <v>304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1">
        <v>0</v>
      </c>
      <c r="I176" s="21"/>
      <c r="J176" s="21">
        <v>0</v>
      </c>
      <c r="K176" s="21">
        <v>0</v>
      </c>
      <c r="L176" s="22">
        <f t="shared" si="10"/>
        <v>0</v>
      </c>
    </row>
    <row r="177" spans="1:12" x14ac:dyDescent="0.25">
      <c r="A177" t="s">
        <v>305</v>
      </c>
      <c r="B177" t="s">
        <v>306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1">
        <v>0</v>
      </c>
      <c r="I177" s="21"/>
      <c r="J177" s="21">
        <v>0</v>
      </c>
      <c r="K177" s="21">
        <v>0</v>
      </c>
      <c r="L177" s="22">
        <f t="shared" si="10"/>
        <v>0</v>
      </c>
    </row>
    <row r="178" spans="1:12" x14ac:dyDescent="0.25">
      <c r="A178" t="s">
        <v>308</v>
      </c>
      <c r="B178" t="s">
        <v>77</v>
      </c>
      <c r="C178" s="22">
        <v>1061</v>
      </c>
      <c r="D178" s="22">
        <v>22825</v>
      </c>
      <c r="E178" s="22">
        <v>5324</v>
      </c>
      <c r="F178" s="22">
        <v>0</v>
      </c>
      <c r="G178" s="22">
        <v>0</v>
      </c>
      <c r="H178" s="21">
        <v>0</v>
      </c>
      <c r="I178" s="21"/>
      <c r="J178" s="21">
        <v>0</v>
      </c>
      <c r="K178" s="21">
        <v>0</v>
      </c>
      <c r="L178" s="22">
        <f t="shared" si="10"/>
        <v>0</v>
      </c>
    </row>
    <row r="179" spans="1:12" x14ac:dyDescent="0.25">
      <c r="A179" t="s">
        <v>309</v>
      </c>
      <c r="B179" t="s">
        <v>310</v>
      </c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1">
        <v>0</v>
      </c>
      <c r="I179" s="21"/>
      <c r="J179" s="21">
        <v>0</v>
      </c>
      <c r="K179" s="21">
        <v>0</v>
      </c>
      <c r="L179" s="22">
        <f t="shared" si="10"/>
        <v>0</v>
      </c>
    </row>
    <row r="180" spans="1:12" x14ac:dyDescent="0.25">
      <c r="A180" t="s">
        <v>311</v>
      </c>
      <c r="B180" t="s">
        <v>312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1">
        <v>0</v>
      </c>
      <c r="I180" s="21"/>
      <c r="J180" s="21">
        <v>0</v>
      </c>
      <c r="K180" s="21">
        <v>0</v>
      </c>
      <c r="L180" s="22">
        <f t="shared" si="10"/>
        <v>0</v>
      </c>
    </row>
    <row r="181" spans="1:12" x14ac:dyDescent="0.25">
      <c r="A181" t="s">
        <v>313</v>
      </c>
      <c r="B181" t="s">
        <v>314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1">
        <v>0</v>
      </c>
      <c r="I181" s="21"/>
      <c r="J181" s="21">
        <v>0</v>
      </c>
      <c r="K181" s="21">
        <v>0</v>
      </c>
      <c r="L181" s="22">
        <f t="shared" si="10"/>
        <v>0</v>
      </c>
    </row>
    <row r="182" spans="1:12" x14ac:dyDescent="0.25">
      <c r="A182" t="s">
        <v>315</v>
      </c>
      <c r="B182" t="s">
        <v>316</v>
      </c>
      <c r="C182" s="22">
        <v>0</v>
      </c>
      <c r="D182" s="22">
        <v>462788</v>
      </c>
      <c r="E182" s="22">
        <v>924018</v>
      </c>
      <c r="F182" s="22">
        <v>475000</v>
      </c>
      <c r="G182" s="22">
        <v>451791.65</v>
      </c>
      <c r="H182" s="21">
        <v>580000</v>
      </c>
      <c r="I182" s="21"/>
      <c r="J182" s="21">
        <v>590000</v>
      </c>
      <c r="K182" s="21">
        <v>0</v>
      </c>
      <c r="L182" s="22">
        <f t="shared" si="10"/>
        <v>590000</v>
      </c>
    </row>
    <row r="183" spans="1:12" x14ac:dyDescent="0.25">
      <c r="C183" s="22"/>
      <c r="D183" s="22"/>
      <c r="E183" s="22"/>
      <c r="F183" s="22"/>
      <c r="G183" s="22"/>
      <c r="H183" s="22"/>
      <c r="I183" s="22"/>
      <c r="J183" s="22"/>
      <c r="K183" s="22"/>
      <c r="L183" s="22"/>
    </row>
    <row r="184" spans="1:12" x14ac:dyDescent="0.25">
      <c r="C184" s="22"/>
      <c r="D184" s="22"/>
      <c r="E184" s="22"/>
      <c r="F184" s="22"/>
      <c r="G184" s="22"/>
      <c r="H184" s="22"/>
      <c r="I184" s="22"/>
      <c r="J184" s="22"/>
      <c r="K184" s="22"/>
      <c r="L184" s="22"/>
    </row>
    <row r="185" spans="1:12" x14ac:dyDescent="0.25">
      <c r="A185" t="s">
        <v>109</v>
      </c>
      <c r="C185" s="22"/>
      <c r="D185" s="22"/>
      <c r="E185" s="22"/>
      <c r="F185" s="22"/>
      <c r="G185" s="22"/>
      <c r="H185" s="22"/>
      <c r="I185" s="22"/>
      <c r="J185" s="22"/>
      <c r="K185" s="22"/>
      <c r="L185" s="22"/>
    </row>
    <row r="186" spans="1:12" x14ac:dyDescent="0.25">
      <c r="B186" t="s">
        <v>317</v>
      </c>
      <c r="C186" s="22">
        <f t="shared" ref="C186:H186" si="11">SUM(C173:C182)</f>
        <v>22061</v>
      </c>
      <c r="D186" s="22">
        <f t="shared" si="11"/>
        <v>485613</v>
      </c>
      <c r="E186" s="22">
        <f t="shared" si="11"/>
        <v>1623490</v>
      </c>
      <c r="F186" s="22">
        <f t="shared" si="11"/>
        <v>477000</v>
      </c>
      <c r="G186" s="22">
        <f t="shared" si="11"/>
        <v>488325.81000000006</v>
      </c>
      <c r="H186" s="22">
        <f t="shared" si="11"/>
        <v>616534</v>
      </c>
      <c r="I186" s="22"/>
      <c r="J186" s="22">
        <f>SUM(J173:J182)</f>
        <v>625000</v>
      </c>
      <c r="K186" s="22">
        <f>SUM(K173:K182)</f>
        <v>0</v>
      </c>
      <c r="L186" s="22">
        <f>SUM(L173:L182)</f>
        <v>625000</v>
      </c>
    </row>
    <row r="187" spans="1:12" x14ac:dyDescent="0.25">
      <c r="C187" s="22"/>
      <c r="D187" s="22"/>
      <c r="E187" s="22"/>
      <c r="F187" s="22"/>
      <c r="G187" s="22"/>
      <c r="H187" s="22"/>
      <c r="I187" s="22"/>
      <c r="J187" s="22"/>
      <c r="K187" s="22"/>
      <c r="L187" s="22"/>
    </row>
    <row r="188" spans="1:12" x14ac:dyDescent="0.25">
      <c r="C188" s="22"/>
      <c r="D188" s="22"/>
      <c r="E188" s="22"/>
      <c r="F188" s="22"/>
      <c r="G188" s="22"/>
      <c r="H188" s="22"/>
      <c r="I188" s="22"/>
      <c r="J188" s="22"/>
      <c r="K188" s="22"/>
      <c r="L188" s="22"/>
    </row>
    <row r="189" spans="1:12" x14ac:dyDescent="0.25">
      <c r="A189" t="s">
        <v>329</v>
      </c>
      <c r="C189" s="22"/>
      <c r="D189" s="22"/>
      <c r="E189" s="22"/>
      <c r="F189" s="22"/>
      <c r="G189" s="22"/>
      <c r="H189" s="22"/>
      <c r="I189" s="22"/>
      <c r="J189" s="22"/>
      <c r="K189" s="22"/>
      <c r="L189" s="22"/>
    </row>
    <row r="190" spans="1:12" x14ac:dyDescent="0.25">
      <c r="A190" t="s">
        <v>18</v>
      </c>
      <c r="B190" t="s">
        <v>320</v>
      </c>
      <c r="C190" s="22"/>
      <c r="D190" s="22"/>
      <c r="E190" s="22"/>
      <c r="F190" s="22"/>
      <c r="G190" s="22"/>
      <c r="H190" s="22"/>
      <c r="I190" s="22"/>
      <c r="J190" s="22"/>
      <c r="K190" s="22"/>
      <c r="L190" s="22"/>
    </row>
    <row r="191" spans="1:12" x14ac:dyDescent="0.25">
      <c r="A191" t="s">
        <v>321</v>
      </c>
      <c r="B191" t="s">
        <v>322</v>
      </c>
      <c r="C191" s="22">
        <v>1179326</v>
      </c>
      <c r="D191" s="22">
        <v>1259041</v>
      </c>
      <c r="E191" s="22">
        <v>1321220</v>
      </c>
      <c r="F191" s="22">
        <v>1384740</v>
      </c>
      <c r="G191" s="22">
        <v>1134167.29</v>
      </c>
      <c r="H191" s="21">
        <v>1360000</v>
      </c>
      <c r="I191" s="21"/>
      <c r="J191" s="21">
        <v>1380000</v>
      </c>
      <c r="K191" s="21">
        <v>0</v>
      </c>
      <c r="L191" s="22">
        <f>SUM(J191+K191)</f>
        <v>1380000</v>
      </c>
    </row>
    <row r="192" spans="1:12" x14ac:dyDescent="0.25">
      <c r="A192" t="s">
        <v>323</v>
      </c>
      <c r="B192" t="s">
        <v>324</v>
      </c>
      <c r="C192" s="22">
        <v>63512</v>
      </c>
      <c r="D192" s="22">
        <v>66274</v>
      </c>
      <c r="E192" s="22">
        <v>69749</v>
      </c>
      <c r="F192" s="22">
        <v>69375</v>
      </c>
      <c r="G192" s="22">
        <v>57950.879999999997</v>
      </c>
      <c r="H192" s="21">
        <v>69500</v>
      </c>
      <c r="I192" s="21"/>
      <c r="J192" s="21">
        <v>69725</v>
      </c>
      <c r="K192" s="21">
        <v>0</v>
      </c>
      <c r="L192" s="22">
        <f t="shared" ref="L192:L194" si="12">SUM(J192+K192)</f>
        <v>69725</v>
      </c>
    </row>
    <row r="193" spans="1:12" x14ac:dyDescent="0.25">
      <c r="A193" t="s">
        <v>325</v>
      </c>
      <c r="B193" t="s">
        <v>326</v>
      </c>
      <c r="C193" s="22">
        <v>4488</v>
      </c>
      <c r="D193" s="22">
        <v>5151</v>
      </c>
      <c r="E193" s="22">
        <v>4552</v>
      </c>
      <c r="F193" s="22">
        <v>4502</v>
      </c>
      <c r="G193" s="22">
        <v>150</v>
      </c>
      <c r="H193" s="21">
        <v>200</v>
      </c>
      <c r="I193" s="21"/>
      <c r="J193" s="21">
        <v>500</v>
      </c>
      <c r="K193" s="21">
        <v>0</v>
      </c>
      <c r="L193" s="22">
        <f t="shared" si="12"/>
        <v>500</v>
      </c>
    </row>
    <row r="194" spans="1:12" x14ac:dyDescent="0.25">
      <c r="A194" t="s">
        <v>327</v>
      </c>
      <c r="B194" t="s">
        <v>328</v>
      </c>
      <c r="C194" s="22">
        <v>0</v>
      </c>
      <c r="D194" s="22">
        <v>0</v>
      </c>
      <c r="E194" s="22">
        <v>0</v>
      </c>
      <c r="F194" s="22">
        <v>0</v>
      </c>
      <c r="G194" s="22">
        <v>4121.57</v>
      </c>
      <c r="H194" s="21">
        <v>4122</v>
      </c>
      <c r="I194" s="21"/>
      <c r="J194" s="21">
        <v>0</v>
      </c>
      <c r="K194" s="21">
        <v>0</v>
      </c>
      <c r="L194" s="22">
        <f t="shared" si="12"/>
        <v>0</v>
      </c>
    </row>
    <row r="195" spans="1:12" x14ac:dyDescent="0.25">
      <c r="C195" s="22"/>
      <c r="D195" s="22"/>
      <c r="E195" s="22"/>
      <c r="F195" s="22"/>
      <c r="G195" s="22"/>
      <c r="H195" s="22"/>
      <c r="I195" s="22"/>
      <c r="J195" s="22"/>
      <c r="K195" s="22"/>
      <c r="L195" s="22"/>
    </row>
    <row r="196" spans="1:12" x14ac:dyDescent="0.25">
      <c r="C196" s="22"/>
      <c r="D196" s="22"/>
      <c r="E196" s="22"/>
      <c r="F196" s="22"/>
      <c r="G196" s="22"/>
      <c r="H196" s="22"/>
      <c r="I196" s="22"/>
      <c r="J196" s="22"/>
      <c r="K196" s="22"/>
      <c r="L196" s="22"/>
    </row>
    <row r="197" spans="1:12" x14ac:dyDescent="0.25">
      <c r="A197" t="s">
        <v>109</v>
      </c>
      <c r="C197" s="22"/>
      <c r="D197" s="22"/>
      <c r="E197" s="22"/>
      <c r="F197" s="22"/>
      <c r="G197" s="22"/>
      <c r="H197" s="22"/>
      <c r="I197" s="22"/>
      <c r="J197" s="22"/>
      <c r="K197" s="22"/>
      <c r="L197" s="22"/>
    </row>
    <row r="198" spans="1:12" x14ac:dyDescent="0.25">
      <c r="B198" t="s">
        <v>329</v>
      </c>
      <c r="C198" s="22">
        <f t="shared" ref="C198:H198" si="13">SUM(C191:C194)</f>
        <v>1247326</v>
      </c>
      <c r="D198" s="22">
        <f t="shared" si="13"/>
        <v>1330466</v>
      </c>
      <c r="E198" s="22">
        <f t="shared" si="13"/>
        <v>1395521</v>
      </c>
      <c r="F198" s="22">
        <f t="shared" si="13"/>
        <v>1458617</v>
      </c>
      <c r="G198" s="22">
        <f t="shared" si="13"/>
        <v>1196389.74</v>
      </c>
      <c r="H198" s="22">
        <f t="shared" si="13"/>
        <v>1433822</v>
      </c>
      <c r="I198" s="22"/>
      <c r="J198" s="22">
        <f>SUM(J191:J194)</f>
        <v>1450225</v>
      </c>
      <c r="K198" s="22">
        <f>SUM(K191:K194)</f>
        <v>0</v>
      </c>
      <c r="L198" s="22">
        <f>SUM(L191:L194)</f>
        <v>1450225</v>
      </c>
    </row>
    <row r="199" spans="1:12" x14ac:dyDescent="0.25">
      <c r="C199" s="22"/>
      <c r="D199" s="22"/>
      <c r="E199" s="22"/>
      <c r="F199" s="22"/>
      <c r="G199" s="22"/>
      <c r="H199" s="22"/>
      <c r="I199" s="22"/>
      <c r="J199" s="22"/>
      <c r="K199" s="22"/>
      <c r="L199" s="22"/>
    </row>
    <row r="200" spans="1:12" x14ac:dyDescent="0.25">
      <c r="C200" s="22"/>
      <c r="D200" s="22"/>
      <c r="E200" s="22"/>
      <c r="F200" s="22"/>
      <c r="G200" s="22"/>
      <c r="H200" s="22"/>
      <c r="I200" s="22"/>
      <c r="J200" s="22"/>
      <c r="K200" s="22"/>
      <c r="L200" s="22"/>
    </row>
    <row r="201" spans="1:12" x14ac:dyDescent="0.25">
      <c r="A201" t="s">
        <v>336</v>
      </c>
      <c r="C201" s="22"/>
      <c r="D201" s="22"/>
      <c r="E201" s="22"/>
      <c r="F201" s="22"/>
      <c r="G201" s="22"/>
      <c r="H201" s="22"/>
      <c r="I201" s="22"/>
      <c r="J201" s="22"/>
      <c r="K201" s="22"/>
      <c r="L201" s="22"/>
    </row>
    <row r="202" spans="1:12" x14ac:dyDescent="0.25">
      <c r="A202" t="s">
        <v>18</v>
      </c>
      <c r="B202" t="s">
        <v>24</v>
      </c>
      <c r="C202" s="22"/>
      <c r="D202" s="22"/>
      <c r="E202" s="22"/>
      <c r="F202" s="22"/>
      <c r="G202" s="22"/>
      <c r="H202" s="22"/>
      <c r="I202" s="22"/>
      <c r="J202" s="22"/>
      <c r="K202" s="22"/>
      <c r="L202" s="22"/>
    </row>
    <row r="203" spans="1:12" x14ac:dyDescent="0.25">
      <c r="A203" t="s">
        <v>332</v>
      </c>
      <c r="B203" t="s">
        <v>333</v>
      </c>
      <c r="C203" s="22">
        <v>1506</v>
      </c>
      <c r="D203" s="22">
        <v>560</v>
      </c>
      <c r="E203" s="22">
        <v>0</v>
      </c>
      <c r="F203" s="22">
        <v>0</v>
      </c>
      <c r="G203" s="22">
        <v>0</v>
      </c>
      <c r="H203" s="21">
        <v>0</v>
      </c>
      <c r="I203" s="21"/>
      <c r="J203" s="21">
        <v>0</v>
      </c>
      <c r="K203" s="21">
        <v>0</v>
      </c>
      <c r="L203" s="22">
        <f>SUM(J203+K203)</f>
        <v>0</v>
      </c>
    </row>
    <row r="204" spans="1:12" x14ac:dyDescent="0.25">
      <c r="A204" t="s">
        <v>334</v>
      </c>
      <c r="B204" t="s">
        <v>335</v>
      </c>
      <c r="C204" s="22">
        <v>140</v>
      </c>
      <c r="D204" s="22">
        <v>0</v>
      </c>
      <c r="E204" s="22">
        <v>19136</v>
      </c>
      <c r="F204" s="22">
        <v>0</v>
      </c>
      <c r="G204" s="22">
        <v>0</v>
      </c>
      <c r="H204" s="21">
        <v>0</v>
      </c>
      <c r="I204" s="21"/>
      <c r="J204" s="21">
        <v>0</v>
      </c>
      <c r="K204" s="21">
        <v>0</v>
      </c>
      <c r="L204" s="22">
        <f>SUM(J204+K204)</f>
        <v>0</v>
      </c>
    </row>
    <row r="205" spans="1:12" x14ac:dyDescent="0.25">
      <c r="C205" s="22"/>
      <c r="D205" s="22"/>
      <c r="E205" s="22"/>
      <c r="F205" s="22"/>
      <c r="G205" s="22"/>
      <c r="H205" s="22"/>
      <c r="I205" s="22"/>
      <c r="J205" s="22"/>
      <c r="K205" s="22"/>
      <c r="L205" s="22"/>
    </row>
    <row r="206" spans="1:12" x14ac:dyDescent="0.25">
      <c r="C206" s="22"/>
      <c r="D206" s="22"/>
      <c r="E206" s="22"/>
      <c r="F206" s="22"/>
      <c r="G206" s="22"/>
      <c r="H206" s="22"/>
      <c r="I206" s="22"/>
      <c r="J206" s="22"/>
      <c r="K206" s="22"/>
      <c r="L206" s="22"/>
    </row>
    <row r="207" spans="1:12" x14ac:dyDescent="0.25">
      <c r="A207" t="s">
        <v>109</v>
      </c>
      <c r="C207" s="22"/>
      <c r="D207" s="22"/>
      <c r="E207" s="22"/>
      <c r="F207" s="22"/>
      <c r="G207" s="22"/>
      <c r="H207" s="22"/>
      <c r="I207" s="22"/>
      <c r="J207" s="22"/>
      <c r="K207" s="22"/>
      <c r="L207" s="22"/>
    </row>
    <row r="208" spans="1:12" x14ac:dyDescent="0.25">
      <c r="B208" t="s">
        <v>336</v>
      </c>
      <c r="C208" s="22">
        <f t="shared" ref="C208:H208" si="14">SUM(C203:C204)</f>
        <v>1646</v>
      </c>
      <c r="D208" s="22">
        <f t="shared" si="14"/>
        <v>560</v>
      </c>
      <c r="E208" s="22">
        <f t="shared" si="14"/>
        <v>19136</v>
      </c>
      <c r="F208" s="22">
        <f t="shared" si="14"/>
        <v>0</v>
      </c>
      <c r="G208" s="22">
        <f t="shared" si="14"/>
        <v>0</v>
      </c>
      <c r="H208" s="22">
        <f t="shared" si="14"/>
        <v>0</v>
      </c>
      <c r="I208" s="22"/>
      <c r="J208" s="22">
        <f>SUM(J203:J204)</f>
        <v>0</v>
      </c>
      <c r="K208" s="22">
        <f>SUM(K203:K204)</f>
        <v>0</v>
      </c>
      <c r="L208" s="22">
        <f>SUM(L203:L204)</f>
        <v>0</v>
      </c>
    </row>
    <row r="209" spans="1:12" x14ac:dyDescent="0.25">
      <c r="C209" s="22"/>
      <c r="D209" s="22"/>
      <c r="E209" s="22"/>
      <c r="F209" s="22"/>
      <c r="G209" s="22"/>
      <c r="H209" s="22"/>
      <c r="I209" s="22"/>
      <c r="J209" s="22"/>
      <c r="K209" s="22"/>
      <c r="L209" s="22"/>
    </row>
    <row r="210" spans="1:12" x14ac:dyDescent="0.25">
      <c r="C210" s="22"/>
      <c r="D210" s="22"/>
      <c r="E210" s="22"/>
      <c r="F210" s="22"/>
      <c r="G210" s="22"/>
      <c r="H210" s="22"/>
      <c r="I210" s="22"/>
      <c r="J210" s="22"/>
      <c r="K210" s="22"/>
      <c r="L210" s="22"/>
    </row>
    <row r="211" spans="1:12" x14ac:dyDescent="0.25">
      <c r="A211" t="s">
        <v>351</v>
      </c>
      <c r="C211" s="22"/>
      <c r="D211" s="22"/>
      <c r="E211" s="22"/>
      <c r="F211" s="22"/>
      <c r="G211" s="22"/>
      <c r="H211" s="22"/>
      <c r="I211" s="22"/>
      <c r="J211" s="22"/>
      <c r="K211" s="22"/>
      <c r="L211" s="22"/>
    </row>
    <row r="212" spans="1:12" x14ac:dyDescent="0.25">
      <c r="A212" t="s">
        <v>18</v>
      </c>
      <c r="B212" t="s">
        <v>339</v>
      </c>
      <c r="C212" s="22"/>
      <c r="D212" s="22"/>
      <c r="E212" s="22"/>
      <c r="F212" s="22"/>
      <c r="G212" s="22"/>
      <c r="H212" s="22"/>
      <c r="I212" s="22"/>
      <c r="J212" s="22"/>
      <c r="K212" s="22"/>
      <c r="L212" s="22"/>
    </row>
    <row r="213" spans="1:12" x14ac:dyDescent="0.25">
      <c r="A213" t="s">
        <v>340</v>
      </c>
      <c r="B213" t="s">
        <v>341</v>
      </c>
      <c r="C213" s="22">
        <v>-1788</v>
      </c>
      <c r="D213" s="22">
        <v>-930</v>
      </c>
      <c r="E213" s="22">
        <v>0</v>
      </c>
      <c r="F213" s="22">
        <v>0</v>
      </c>
      <c r="G213" s="22">
        <v>0</v>
      </c>
      <c r="H213" s="21">
        <v>0</v>
      </c>
      <c r="I213" s="21"/>
      <c r="J213" s="21">
        <v>0</v>
      </c>
      <c r="K213" s="21">
        <v>0</v>
      </c>
      <c r="L213" s="22">
        <f>SUM(J213+K213)</f>
        <v>0</v>
      </c>
    </row>
    <row r="214" spans="1:12" x14ac:dyDescent="0.25">
      <c r="A214" t="s">
        <v>342</v>
      </c>
      <c r="B214" t="s">
        <v>343</v>
      </c>
      <c r="C214" s="22">
        <v>16086</v>
      </c>
      <c r="D214" s="22">
        <v>11993</v>
      </c>
      <c r="E214" s="22">
        <v>370</v>
      </c>
      <c r="F214" s="22">
        <v>11103</v>
      </c>
      <c r="G214" s="22">
        <v>14054.61</v>
      </c>
      <c r="H214" s="21">
        <v>16000</v>
      </c>
      <c r="I214" s="21"/>
      <c r="J214" s="21">
        <v>17000</v>
      </c>
      <c r="K214" s="21">
        <v>0</v>
      </c>
      <c r="L214" s="22">
        <f t="shared" ref="L214:L218" si="15">SUM(J214+K214)</f>
        <v>17000</v>
      </c>
    </row>
    <row r="215" spans="1:12" x14ac:dyDescent="0.25">
      <c r="A215" t="s">
        <v>344</v>
      </c>
      <c r="B215" t="s">
        <v>345</v>
      </c>
      <c r="C215" s="22">
        <v>0</v>
      </c>
      <c r="D215" s="22">
        <v>4895</v>
      </c>
      <c r="E215" s="22">
        <v>0</v>
      </c>
      <c r="F215" s="22">
        <v>0</v>
      </c>
      <c r="G215" s="22">
        <v>0</v>
      </c>
      <c r="H215" s="21">
        <v>0</v>
      </c>
      <c r="I215" s="21"/>
      <c r="J215" s="21">
        <v>0</v>
      </c>
      <c r="K215" s="21">
        <v>0</v>
      </c>
      <c r="L215" s="22">
        <f t="shared" si="15"/>
        <v>0</v>
      </c>
    </row>
    <row r="216" spans="1:12" x14ac:dyDescent="0.25">
      <c r="A216" t="s">
        <v>346</v>
      </c>
      <c r="B216" t="s">
        <v>347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1">
        <v>0</v>
      </c>
      <c r="I216" s="21"/>
      <c r="J216" s="21">
        <v>0</v>
      </c>
      <c r="K216" s="21">
        <v>0</v>
      </c>
      <c r="L216" s="22">
        <f t="shared" si="15"/>
        <v>0</v>
      </c>
    </row>
    <row r="217" spans="1:12" x14ac:dyDescent="0.25">
      <c r="A217" t="s">
        <v>348</v>
      </c>
      <c r="B217" t="s">
        <v>89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1">
        <v>0</v>
      </c>
      <c r="I217" s="21"/>
      <c r="J217" s="21">
        <v>0</v>
      </c>
      <c r="K217" s="21">
        <v>0</v>
      </c>
      <c r="L217" s="22">
        <f t="shared" si="15"/>
        <v>0</v>
      </c>
    </row>
    <row r="218" spans="1:12" x14ac:dyDescent="0.25">
      <c r="A218" t="s">
        <v>349</v>
      </c>
      <c r="B218" t="s">
        <v>350</v>
      </c>
      <c r="C218" s="22">
        <v>30</v>
      </c>
      <c r="D218" s="22">
        <v>30</v>
      </c>
      <c r="E218" s="22">
        <v>0</v>
      </c>
      <c r="F218" s="22">
        <v>0</v>
      </c>
      <c r="G218" s="22">
        <v>0</v>
      </c>
      <c r="H218" s="21">
        <v>0</v>
      </c>
      <c r="I218" s="21"/>
      <c r="J218" s="21">
        <v>0</v>
      </c>
      <c r="K218" s="21">
        <v>0</v>
      </c>
      <c r="L218" s="22">
        <f t="shared" si="15"/>
        <v>0</v>
      </c>
    </row>
    <row r="219" spans="1:12" x14ac:dyDescent="0.25">
      <c r="C219" s="22"/>
      <c r="D219" s="22"/>
      <c r="E219" s="22"/>
      <c r="F219" s="22"/>
      <c r="G219" s="22"/>
      <c r="H219" s="22"/>
      <c r="I219" s="22"/>
      <c r="J219" s="22"/>
      <c r="K219" s="22"/>
      <c r="L219" s="22"/>
    </row>
    <row r="220" spans="1:12" x14ac:dyDescent="0.25">
      <c r="C220" s="22"/>
      <c r="D220" s="22"/>
      <c r="E220" s="22"/>
      <c r="F220" s="22"/>
      <c r="G220" s="22"/>
      <c r="H220" s="22"/>
      <c r="I220" s="22"/>
      <c r="J220" s="22"/>
      <c r="K220" s="22"/>
      <c r="L220" s="22"/>
    </row>
    <row r="221" spans="1:12" x14ac:dyDescent="0.25">
      <c r="A221" t="s">
        <v>109</v>
      </c>
      <c r="C221" s="22"/>
      <c r="D221" s="22"/>
      <c r="E221" s="22"/>
      <c r="F221" s="22"/>
      <c r="G221" s="22"/>
      <c r="H221" s="22"/>
      <c r="I221" s="22"/>
      <c r="J221" s="22"/>
      <c r="K221" s="22"/>
      <c r="L221" s="22"/>
    </row>
    <row r="222" spans="1:12" x14ac:dyDescent="0.25">
      <c r="B222" t="s">
        <v>351</v>
      </c>
      <c r="C222" s="22">
        <f t="shared" ref="C222:H222" si="16">SUM(C213:C218)</f>
        <v>14328</v>
      </c>
      <c r="D222" s="22">
        <f t="shared" si="16"/>
        <v>15988</v>
      </c>
      <c r="E222" s="22">
        <f t="shared" si="16"/>
        <v>370</v>
      </c>
      <c r="F222" s="22">
        <f t="shared" si="16"/>
        <v>11103</v>
      </c>
      <c r="G222" s="22">
        <f t="shared" si="16"/>
        <v>14054.61</v>
      </c>
      <c r="H222" s="22">
        <f t="shared" si="16"/>
        <v>16000</v>
      </c>
      <c r="I222" s="22"/>
      <c r="J222" s="22">
        <f>SUM(J213:J218)</f>
        <v>17000</v>
      </c>
      <c r="K222" s="22">
        <f>SUM(K213:K218)</f>
        <v>0</v>
      </c>
      <c r="L222" s="22">
        <f>SUM(L213:L218)</f>
        <v>17000</v>
      </c>
    </row>
    <row r="223" spans="1:12" x14ac:dyDescent="0.25">
      <c r="C223" s="22"/>
      <c r="D223" s="22"/>
      <c r="E223" s="22"/>
      <c r="F223" s="22"/>
      <c r="G223" s="22"/>
      <c r="H223" s="22"/>
      <c r="I223" s="22"/>
      <c r="J223" s="22"/>
      <c r="K223" s="22"/>
      <c r="L223" s="22"/>
    </row>
    <row r="224" spans="1:12" x14ac:dyDescent="0.25">
      <c r="C224" s="22"/>
      <c r="D224" s="22"/>
      <c r="E224" s="22"/>
      <c r="F224" s="22"/>
      <c r="G224" s="22"/>
      <c r="H224" s="22"/>
      <c r="I224" s="22"/>
      <c r="J224" s="22"/>
      <c r="K224" s="22"/>
      <c r="L224" s="22"/>
    </row>
    <row r="225" spans="1:12" x14ac:dyDescent="0.25">
      <c r="A225" t="s">
        <v>382</v>
      </c>
      <c r="C225" s="22"/>
      <c r="D225" s="22"/>
      <c r="E225" s="22"/>
      <c r="F225" s="22"/>
      <c r="G225" s="22"/>
      <c r="H225" s="22"/>
      <c r="I225" s="22"/>
      <c r="J225" s="22"/>
      <c r="K225" s="22"/>
      <c r="L225" s="22"/>
    </row>
    <row r="226" spans="1:12" x14ac:dyDescent="0.25">
      <c r="A226" t="s">
        <v>18</v>
      </c>
      <c r="B226" t="s">
        <v>24</v>
      </c>
      <c r="C226" s="22"/>
      <c r="D226" s="22"/>
      <c r="E226" s="22"/>
      <c r="F226" s="22"/>
      <c r="G226" s="22"/>
      <c r="H226" s="22"/>
      <c r="I226" s="22"/>
      <c r="J226" s="22"/>
      <c r="K226" s="22"/>
      <c r="L226" s="22"/>
    </row>
    <row r="227" spans="1:12" x14ac:dyDescent="0.25">
      <c r="A227" t="s">
        <v>374</v>
      </c>
      <c r="B227" t="s">
        <v>375</v>
      </c>
      <c r="C227" s="22">
        <v>5637</v>
      </c>
      <c r="D227" s="22">
        <v>5979</v>
      </c>
      <c r="E227" s="22">
        <v>6642</v>
      </c>
      <c r="F227" s="22">
        <v>6287</v>
      </c>
      <c r="G227" s="22">
        <v>6192.87</v>
      </c>
      <c r="H227" s="21">
        <v>6500</v>
      </c>
      <c r="I227" s="21"/>
      <c r="J227" s="21">
        <v>6500</v>
      </c>
      <c r="K227" s="21">
        <v>0</v>
      </c>
      <c r="L227" s="22">
        <f>SUM(J227+K227)</f>
        <v>6500</v>
      </c>
    </row>
    <row r="228" spans="1:12" x14ac:dyDescent="0.25">
      <c r="A228" t="s">
        <v>376</v>
      </c>
      <c r="B228" t="s">
        <v>377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1">
        <v>0</v>
      </c>
      <c r="I228" s="21"/>
      <c r="J228" s="21">
        <v>0</v>
      </c>
      <c r="K228" s="21">
        <v>0</v>
      </c>
      <c r="L228" s="22">
        <f t="shared" ref="L228:L230" si="17">SUM(J228+K228)</f>
        <v>0</v>
      </c>
    </row>
    <row r="229" spans="1:12" x14ac:dyDescent="0.25">
      <c r="A229" t="s">
        <v>378</v>
      </c>
      <c r="B229" t="s">
        <v>379</v>
      </c>
      <c r="C229" s="22">
        <v>1197</v>
      </c>
      <c r="D229" s="22">
        <v>1000</v>
      </c>
      <c r="E229" s="22">
        <v>1692</v>
      </c>
      <c r="F229" s="22">
        <v>500</v>
      </c>
      <c r="G229" s="22">
        <v>0</v>
      </c>
      <c r="H229" s="21">
        <v>2500</v>
      </c>
      <c r="I229" s="21"/>
      <c r="J229" s="21">
        <v>3000</v>
      </c>
      <c r="K229" s="21">
        <v>0</v>
      </c>
      <c r="L229" s="22">
        <f t="shared" si="17"/>
        <v>3000</v>
      </c>
    </row>
    <row r="230" spans="1:12" x14ac:dyDescent="0.25">
      <c r="A230" t="s">
        <v>380</v>
      </c>
      <c r="B230" t="s">
        <v>381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1">
        <v>0</v>
      </c>
      <c r="I230" s="21"/>
      <c r="J230" s="21">
        <v>0</v>
      </c>
      <c r="K230" s="21">
        <v>0</v>
      </c>
      <c r="L230" s="22">
        <f t="shared" si="17"/>
        <v>0</v>
      </c>
    </row>
    <row r="231" spans="1:12" x14ac:dyDescent="0.25">
      <c r="C231" s="22"/>
      <c r="D231" s="22"/>
      <c r="E231" s="22"/>
      <c r="F231" s="22"/>
      <c r="G231" s="22"/>
      <c r="H231" s="22"/>
      <c r="I231" s="22"/>
      <c r="J231" s="22"/>
      <c r="K231" s="22"/>
      <c r="L231" s="22"/>
    </row>
    <row r="232" spans="1:12" x14ac:dyDescent="0.25">
      <c r="C232" s="22"/>
      <c r="D232" s="22"/>
      <c r="E232" s="22"/>
      <c r="F232" s="22"/>
      <c r="G232" s="22"/>
      <c r="H232" s="22"/>
      <c r="I232" s="22"/>
      <c r="J232" s="22"/>
      <c r="K232" s="22"/>
      <c r="L232" s="22"/>
    </row>
    <row r="233" spans="1:12" x14ac:dyDescent="0.25">
      <c r="A233" t="s">
        <v>109</v>
      </c>
      <c r="C233" s="22"/>
      <c r="D233" s="22"/>
      <c r="E233" s="22"/>
      <c r="F233" s="22"/>
      <c r="G233" s="22"/>
      <c r="H233" s="22"/>
      <c r="I233" s="22"/>
      <c r="J233" s="22"/>
      <c r="K233" s="22"/>
      <c r="L233" s="22"/>
    </row>
    <row r="234" spans="1:12" x14ac:dyDescent="0.25">
      <c r="B234" t="s">
        <v>382</v>
      </c>
      <c r="C234" s="22">
        <f t="shared" ref="C234:H234" si="18">SUM(C227:C230)</f>
        <v>6834</v>
      </c>
      <c r="D234" s="22">
        <f t="shared" si="18"/>
        <v>6979</v>
      </c>
      <c r="E234" s="22">
        <f t="shared" si="18"/>
        <v>8334</v>
      </c>
      <c r="F234" s="22">
        <f t="shared" si="18"/>
        <v>6787</v>
      </c>
      <c r="G234" s="22">
        <f t="shared" si="18"/>
        <v>6192.87</v>
      </c>
      <c r="H234" s="22">
        <f t="shared" si="18"/>
        <v>9000</v>
      </c>
      <c r="I234" s="22"/>
      <c r="J234" s="22">
        <f>SUM(J227:J230)</f>
        <v>9500</v>
      </c>
      <c r="K234" s="22">
        <f>SUM(K227:K230)</f>
        <v>0</v>
      </c>
      <c r="L234" s="22">
        <f>SUM(L227:L230)</f>
        <v>9500</v>
      </c>
    </row>
    <row r="235" spans="1:12" x14ac:dyDescent="0.25">
      <c r="C235" s="22"/>
      <c r="D235" s="22"/>
      <c r="E235" s="22"/>
      <c r="F235" s="22"/>
      <c r="G235" s="22"/>
      <c r="H235" s="22"/>
      <c r="I235" s="22"/>
      <c r="J235" s="22"/>
      <c r="K235" s="22"/>
      <c r="L235" s="22"/>
    </row>
    <row r="236" spans="1:12" x14ac:dyDescent="0.25">
      <c r="C236" s="22"/>
      <c r="D236" s="22"/>
      <c r="E236" s="22"/>
      <c r="F236" s="22"/>
      <c r="G236" s="22"/>
      <c r="H236" s="22"/>
      <c r="I236" s="22"/>
      <c r="J236" s="22"/>
      <c r="K236" s="22"/>
      <c r="L236" s="22"/>
    </row>
    <row r="237" spans="1:12" x14ac:dyDescent="0.25">
      <c r="C237" s="22"/>
      <c r="D237" s="22"/>
      <c r="E237" s="22"/>
      <c r="F237" s="22"/>
      <c r="G237" s="22"/>
      <c r="H237" s="22"/>
      <c r="I237" s="22"/>
      <c r="J237" s="22"/>
      <c r="K237" s="22"/>
      <c r="L237" s="22"/>
    </row>
    <row r="238" spans="1:12" x14ac:dyDescent="0.25">
      <c r="A238" t="s">
        <v>3542</v>
      </c>
      <c r="C238" s="22">
        <f t="shared" ref="C238:H238" si="19">C55+C76+C120+C145+C168+C186+C198+C208+C222+C234</f>
        <v>12674039</v>
      </c>
      <c r="D238" s="22">
        <f t="shared" si="19"/>
        <v>14540628</v>
      </c>
      <c r="E238" s="22">
        <f t="shared" si="19"/>
        <v>16536222</v>
      </c>
      <c r="F238" s="22">
        <f t="shared" si="19"/>
        <v>15723432</v>
      </c>
      <c r="G238" s="22">
        <f t="shared" si="19"/>
        <v>12024515.310000001</v>
      </c>
      <c r="H238" s="22">
        <f t="shared" si="19"/>
        <v>15185739</v>
      </c>
      <c r="I238" s="22"/>
      <c r="J238" s="22">
        <f>J55+J76+J120+J145+J168+J186+J198+J208+J222+J234</f>
        <v>15487068</v>
      </c>
      <c r="K238" s="22">
        <f>K55+K76+K120+K145+K168+K186+K198+K208+K222+K234</f>
        <v>0</v>
      </c>
      <c r="L238" s="22">
        <f>L55+L76+L120+L145+L168+L186+L198+L208+L222+L234</f>
        <v>15487068</v>
      </c>
    </row>
    <row r="239" spans="1:12" x14ac:dyDescent="0.25">
      <c r="C239" s="22"/>
      <c r="D239" s="22"/>
      <c r="E239" s="22"/>
      <c r="F239" s="22"/>
      <c r="G239" s="22"/>
      <c r="H239" s="22"/>
      <c r="I239" s="22"/>
      <c r="J239" s="22"/>
      <c r="K239" s="22"/>
      <c r="L239" s="22"/>
    </row>
    <row r="240" spans="1:12" x14ac:dyDescent="0.25">
      <c r="C240" s="22"/>
      <c r="D240" s="22"/>
      <c r="E240" s="22"/>
      <c r="F240" s="22"/>
      <c r="G240" s="22"/>
      <c r="H240" s="22"/>
      <c r="I240" s="22"/>
      <c r="J240" s="22"/>
      <c r="K240" s="22"/>
      <c r="L240" s="22"/>
    </row>
    <row r="241" spans="3:12" x14ac:dyDescent="0.25">
      <c r="C241" s="22"/>
      <c r="D241" s="22"/>
      <c r="E241" s="22"/>
      <c r="F241" s="22"/>
      <c r="G241" s="22"/>
      <c r="H241" s="22"/>
      <c r="I241" s="22"/>
      <c r="J241" s="22"/>
      <c r="K241" s="22"/>
      <c r="L241" s="22"/>
    </row>
  </sheetData>
  <sheetProtection algorithmName="SHA-512" hashValue="JSGnSCkImqd8Y/QrT6MPcz1f6Mqtwj+s5DBTlBFvS3qsTfI62qy5ak9hL6lz93ZPU8f7d5E7/WGoiRvU1SAkeA==" saltValue="BCzsC++Jk7pjo0Np+n7Iqg==" spinCount="100000" sheet="1" insertRows="0"/>
  <pageMargins left="0.25" right="0.25" top="0.75" bottom="0.75" header="0.3" footer="0.3"/>
  <pageSetup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8658-BEDA-4002-94AA-85C72B1573EF}">
  <sheetPr>
    <pageSetUpPr fitToPage="1"/>
  </sheetPr>
  <dimension ref="A1:L112"/>
  <sheetViews>
    <sheetView zoomScaleNormal="100" workbookViewId="0">
      <pane ySplit="7" topLeftCell="A8" activePane="bottomLeft" state="frozen"/>
      <selection pane="bottomLeft" activeCell="A103" sqref="A103"/>
    </sheetView>
  </sheetViews>
  <sheetFormatPr defaultRowHeight="15" x14ac:dyDescent="0.25"/>
  <cols>
    <col min="2" max="2" width="34.85546875" bestFit="1" customWidth="1"/>
    <col min="3" max="3" width="17.5703125" bestFit="1" customWidth="1"/>
    <col min="4" max="4" width="15" bestFit="1" customWidth="1"/>
    <col min="5" max="5" width="14" bestFit="1" customWidth="1"/>
    <col min="6" max="6" width="14.140625" bestFit="1" customWidth="1"/>
    <col min="7" max="7" width="12.5703125" bestFit="1" customWidth="1"/>
    <col min="8" max="8" width="13.28515625" bestFit="1" customWidth="1"/>
    <col min="9" max="9" width="11" customWidth="1"/>
    <col min="10" max="10" width="13.7109375" bestFit="1" customWidth="1"/>
    <col min="11" max="11" width="14.7109375" bestFit="1" customWidth="1"/>
    <col min="12" max="12" width="14.140625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3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8" spans="1:12" x14ac:dyDescent="0.25">
      <c r="A8" t="s">
        <v>25</v>
      </c>
    </row>
    <row r="11" spans="1:12" x14ac:dyDescent="0.25">
      <c r="A11" t="s">
        <v>441</v>
      </c>
    </row>
    <row r="12" spans="1:12" x14ac:dyDescent="0.25">
      <c r="A12" t="s">
        <v>18</v>
      </c>
      <c r="B12" t="s">
        <v>228</v>
      </c>
    </row>
    <row r="13" spans="1:12" x14ac:dyDescent="0.25">
      <c r="A13" t="s">
        <v>393</v>
      </c>
      <c r="B13" s="7" t="s">
        <v>394</v>
      </c>
      <c r="C13" s="20">
        <v>1560</v>
      </c>
      <c r="D13" s="20">
        <v>3548</v>
      </c>
      <c r="E13" s="20">
        <v>0</v>
      </c>
      <c r="F13" s="20">
        <v>0</v>
      </c>
      <c r="G13" s="20">
        <v>0</v>
      </c>
      <c r="H13" s="21">
        <v>0</v>
      </c>
      <c r="I13" s="22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395</v>
      </c>
      <c r="B14" s="7" t="s">
        <v>396</v>
      </c>
      <c r="C14" s="20">
        <v>9</v>
      </c>
      <c r="D14" s="20">
        <v>18</v>
      </c>
      <c r="E14" s="20">
        <v>234</v>
      </c>
      <c r="F14" s="20">
        <v>504</v>
      </c>
      <c r="G14" s="20">
        <v>126</v>
      </c>
      <c r="H14" s="21">
        <v>126</v>
      </c>
      <c r="I14" s="22"/>
      <c r="J14" s="21">
        <v>63</v>
      </c>
      <c r="K14" s="21">
        <v>0</v>
      </c>
      <c r="L14" s="22">
        <f>SUM(J14+K14)</f>
        <v>63</v>
      </c>
    </row>
    <row r="15" spans="1:12" x14ac:dyDescent="0.25">
      <c r="A15" t="s">
        <v>397</v>
      </c>
      <c r="B15" s="7" t="s">
        <v>398</v>
      </c>
      <c r="C15" s="20">
        <v>13170</v>
      </c>
      <c r="D15" s="20">
        <v>16918</v>
      </c>
      <c r="E15" s="20">
        <v>17344</v>
      </c>
      <c r="F15" s="20">
        <v>12247</v>
      </c>
      <c r="G15" s="20">
        <v>10810.29</v>
      </c>
      <c r="H15" s="21">
        <v>12500</v>
      </c>
      <c r="I15" s="22"/>
      <c r="J15" s="21">
        <v>13971.92</v>
      </c>
      <c r="K15" s="21">
        <v>0</v>
      </c>
      <c r="L15" s="22">
        <f>SUM(J15+K15)</f>
        <v>13971.92</v>
      </c>
    </row>
    <row r="16" spans="1:12" x14ac:dyDescent="0.25">
      <c r="A16" t="s">
        <v>399</v>
      </c>
      <c r="B16" s="7" t="s">
        <v>400</v>
      </c>
      <c r="C16" s="20">
        <v>14015</v>
      </c>
      <c r="D16" s="20">
        <v>20224</v>
      </c>
      <c r="E16" s="20">
        <v>22189</v>
      </c>
      <c r="F16" s="20">
        <v>20714</v>
      </c>
      <c r="G16" s="20">
        <v>16684.88</v>
      </c>
      <c r="H16" s="21">
        <v>15000</v>
      </c>
      <c r="I16" s="22"/>
      <c r="J16" s="21">
        <f>4031.89+12543.77</f>
        <v>16575.66</v>
      </c>
      <c r="K16" s="21">
        <v>0</v>
      </c>
      <c r="L16" s="22">
        <f t="shared" ref="L16:L36" si="0">SUM(J16+K16)</f>
        <v>16575.66</v>
      </c>
    </row>
    <row r="17" spans="1:12" x14ac:dyDescent="0.25">
      <c r="A17" t="s">
        <v>401</v>
      </c>
      <c r="B17" s="7" t="s">
        <v>402</v>
      </c>
      <c r="C17" s="20">
        <v>10485</v>
      </c>
      <c r="D17" s="20">
        <v>20639</v>
      </c>
      <c r="E17" s="20">
        <v>21970</v>
      </c>
      <c r="F17" s="20">
        <v>15352</v>
      </c>
      <c r="G17" s="20">
        <v>11617.76</v>
      </c>
      <c r="H17" s="21">
        <v>15000</v>
      </c>
      <c r="I17" s="22"/>
      <c r="J17" s="21">
        <v>29418.720000000001</v>
      </c>
      <c r="K17" s="21">
        <v>0</v>
      </c>
      <c r="L17" s="22">
        <f t="shared" si="0"/>
        <v>29418.720000000001</v>
      </c>
    </row>
    <row r="18" spans="1:12" x14ac:dyDescent="0.25">
      <c r="A18" t="s">
        <v>403</v>
      </c>
      <c r="B18" s="7" t="s">
        <v>404</v>
      </c>
      <c r="C18" s="20">
        <v>664</v>
      </c>
      <c r="D18" s="20">
        <v>1421</v>
      </c>
      <c r="E18" s="20">
        <v>1318</v>
      </c>
      <c r="F18" s="20">
        <v>927</v>
      </c>
      <c r="G18" s="20">
        <v>687.09</v>
      </c>
      <c r="H18" s="21">
        <v>740</v>
      </c>
      <c r="I18" s="22"/>
      <c r="J18" s="21">
        <v>720</v>
      </c>
      <c r="K18" s="21">
        <v>0</v>
      </c>
      <c r="L18" s="22">
        <f t="shared" si="0"/>
        <v>720</v>
      </c>
    </row>
    <row r="19" spans="1:12" x14ac:dyDescent="0.25">
      <c r="A19" t="s">
        <v>405</v>
      </c>
      <c r="B19" s="7" t="s">
        <v>406</v>
      </c>
      <c r="C19" s="20">
        <v>450</v>
      </c>
      <c r="D19" s="20">
        <v>3775</v>
      </c>
      <c r="E19" s="20">
        <v>666</v>
      </c>
      <c r="F19" s="20">
        <v>733</v>
      </c>
      <c r="G19" s="20">
        <v>1258.25</v>
      </c>
      <c r="H19" s="21">
        <v>1258</v>
      </c>
      <c r="I19" s="22"/>
      <c r="J19" s="21">
        <f>G19*10+G19</f>
        <v>13840.75</v>
      </c>
      <c r="K19" s="21">
        <v>0</v>
      </c>
      <c r="L19" s="22">
        <f t="shared" si="0"/>
        <v>13840.75</v>
      </c>
    </row>
    <row r="20" spans="1:12" x14ac:dyDescent="0.25">
      <c r="A20" t="s">
        <v>407</v>
      </c>
      <c r="B20" s="7" t="s">
        <v>408</v>
      </c>
      <c r="C20" s="20">
        <v>165000</v>
      </c>
      <c r="D20" s="20">
        <v>180865</v>
      </c>
      <c r="E20" s="20">
        <v>181500</v>
      </c>
      <c r="F20" s="20">
        <v>190575</v>
      </c>
      <c r="G20" s="20">
        <v>275679.90000000002</v>
      </c>
      <c r="H20" s="21">
        <v>296000</v>
      </c>
      <c r="I20" s="22"/>
      <c r="J20" s="21">
        <v>175000</v>
      </c>
      <c r="K20" s="21">
        <v>0</v>
      </c>
      <c r="L20" s="22">
        <f t="shared" si="0"/>
        <v>175000</v>
      </c>
    </row>
    <row r="21" spans="1:12" hidden="1" x14ac:dyDescent="0.25">
      <c r="A21" t="s">
        <v>409</v>
      </c>
      <c r="B21" s="7" t="s">
        <v>410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1">
        <v>0</v>
      </c>
      <c r="I21" s="22"/>
      <c r="J21" s="21">
        <v>0</v>
      </c>
      <c r="K21" s="21">
        <v>0</v>
      </c>
      <c r="L21" s="22">
        <f t="shared" si="0"/>
        <v>0</v>
      </c>
    </row>
    <row r="22" spans="1:12" x14ac:dyDescent="0.25">
      <c r="A22" t="s">
        <v>411</v>
      </c>
      <c r="B22" s="7" t="s">
        <v>412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1">
        <v>0</v>
      </c>
      <c r="I22" s="22"/>
      <c r="J22" s="21">
        <v>0</v>
      </c>
      <c r="K22" s="21">
        <v>0</v>
      </c>
      <c r="L22" s="22">
        <f t="shared" si="0"/>
        <v>0</v>
      </c>
    </row>
    <row r="23" spans="1:12" x14ac:dyDescent="0.25">
      <c r="A23" t="s">
        <v>413</v>
      </c>
      <c r="B23" s="7" t="s">
        <v>414</v>
      </c>
      <c r="C23" s="20">
        <v>0</v>
      </c>
      <c r="D23" s="20">
        <v>55541</v>
      </c>
      <c r="E23" s="20">
        <v>60000</v>
      </c>
      <c r="F23" s="20">
        <v>26250</v>
      </c>
      <c r="G23" s="20">
        <v>36115.29</v>
      </c>
      <c r="H23" s="21">
        <v>36115</v>
      </c>
      <c r="I23" s="22"/>
      <c r="J23" s="21">
        <v>0</v>
      </c>
      <c r="K23" s="21">
        <v>0</v>
      </c>
      <c r="L23" s="22">
        <f t="shared" si="0"/>
        <v>0</v>
      </c>
    </row>
    <row r="24" spans="1:12" x14ac:dyDescent="0.25">
      <c r="A24" t="s">
        <v>415</v>
      </c>
      <c r="B24" s="7" t="s">
        <v>416</v>
      </c>
      <c r="C24" s="20">
        <v>0</v>
      </c>
      <c r="D24" s="20">
        <v>0</v>
      </c>
      <c r="E24" s="20">
        <v>0</v>
      </c>
      <c r="F24" s="20">
        <v>0</v>
      </c>
      <c r="G24" s="20">
        <v>3628.58</v>
      </c>
      <c r="H24" s="21">
        <v>3629</v>
      </c>
      <c r="I24" s="22"/>
      <c r="J24" s="21">
        <v>0</v>
      </c>
      <c r="K24" s="21">
        <v>0</v>
      </c>
      <c r="L24" s="22">
        <f t="shared" si="0"/>
        <v>0</v>
      </c>
    </row>
    <row r="25" spans="1:12" x14ac:dyDescent="0.25">
      <c r="A25" t="s">
        <v>417</v>
      </c>
      <c r="B25" s="7" t="s">
        <v>418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1">
        <v>0</v>
      </c>
      <c r="I25" s="22"/>
      <c r="J25" s="21">
        <v>0</v>
      </c>
      <c r="K25" s="21">
        <v>0</v>
      </c>
      <c r="L25" s="22">
        <f t="shared" si="0"/>
        <v>0</v>
      </c>
    </row>
    <row r="26" spans="1:12" x14ac:dyDescent="0.25">
      <c r="A26" t="s">
        <v>419</v>
      </c>
      <c r="B26" s="7" t="s">
        <v>420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1">
        <v>0</v>
      </c>
      <c r="I26" s="22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421</v>
      </c>
      <c r="B27" s="7" t="s">
        <v>422</v>
      </c>
      <c r="C27" s="20">
        <v>7200</v>
      </c>
      <c r="D27" s="20">
        <v>7200</v>
      </c>
      <c r="E27" s="20">
        <v>7200</v>
      </c>
      <c r="F27" s="20">
        <v>7200</v>
      </c>
      <c r="G27" s="20">
        <v>2279.1999999999998</v>
      </c>
      <c r="H27" s="21">
        <v>3780</v>
      </c>
      <c r="I27" s="22"/>
      <c r="J27" s="21">
        <v>7200</v>
      </c>
      <c r="K27" s="21">
        <v>0</v>
      </c>
      <c r="L27" s="22">
        <f t="shared" si="0"/>
        <v>7200</v>
      </c>
    </row>
    <row r="28" spans="1:12" x14ac:dyDescent="0.25">
      <c r="A28" t="s">
        <v>423</v>
      </c>
      <c r="B28" s="7" t="s">
        <v>424</v>
      </c>
      <c r="C28" s="20">
        <v>35</v>
      </c>
      <c r="D28" s="20">
        <v>138</v>
      </c>
      <c r="E28" s="20">
        <v>208</v>
      </c>
      <c r="F28" s="20">
        <v>329</v>
      </c>
      <c r="G28" s="20">
        <v>138.41</v>
      </c>
      <c r="H28" s="21">
        <v>138</v>
      </c>
      <c r="I28" s="22"/>
      <c r="J28" s="21">
        <v>34.6</v>
      </c>
      <c r="K28" s="21">
        <v>0</v>
      </c>
      <c r="L28" s="22">
        <f t="shared" si="0"/>
        <v>34.6</v>
      </c>
    </row>
    <row r="29" spans="1:12" x14ac:dyDescent="0.25">
      <c r="A29" t="s">
        <v>425</v>
      </c>
      <c r="B29" s="7" t="s">
        <v>426</v>
      </c>
      <c r="C29" s="20">
        <v>0</v>
      </c>
      <c r="D29" s="20">
        <v>810</v>
      </c>
      <c r="E29" s="20">
        <v>810</v>
      </c>
      <c r="F29" s="20">
        <v>810</v>
      </c>
      <c r="G29" s="20">
        <v>415.22</v>
      </c>
      <c r="H29" s="21">
        <v>415</v>
      </c>
      <c r="I29" s="22"/>
      <c r="J29" s="21">
        <v>404.91</v>
      </c>
      <c r="K29" s="21">
        <v>0</v>
      </c>
      <c r="L29" s="22">
        <f t="shared" si="0"/>
        <v>404.91</v>
      </c>
    </row>
    <row r="30" spans="1:12" x14ac:dyDescent="0.25">
      <c r="A30" t="s">
        <v>427</v>
      </c>
      <c r="B30" s="7" t="s">
        <v>428</v>
      </c>
      <c r="C30" s="20">
        <v>0</v>
      </c>
      <c r="D30" s="20">
        <v>577</v>
      </c>
      <c r="E30" s="20">
        <v>600</v>
      </c>
      <c r="F30" s="20">
        <v>250</v>
      </c>
      <c r="G30" s="20">
        <v>346.2</v>
      </c>
      <c r="H30" s="21">
        <v>346</v>
      </c>
      <c r="I30" s="22"/>
      <c r="J30" s="21">
        <v>0</v>
      </c>
      <c r="K30" s="21">
        <v>0</v>
      </c>
      <c r="L30" s="22">
        <f t="shared" si="0"/>
        <v>0</v>
      </c>
    </row>
    <row r="31" spans="1:12" x14ac:dyDescent="0.25">
      <c r="A31" t="s">
        <v>429</v>
      </c>
      <c r="B31" s="7" t="s">
        <v>430</v>
      </c>
      <c r="C31" s="20">
        <v>35</v>
      </c>
      <c r="D31" s="20">
        <v>69</v>
      </c>
      <c r="E31" s="20">
        <v>69</v>
      </c>
      <c r="F31" s="20">
        <v>69</v>
      </c>
      <c r="G31" s="20">
        <v>34.6</v>
      </c>
      <c r="H31" s="21">
        <v>35</v>
      </c>
      <c r="I31" s="22"/>
      <c r="J31" s="21">
        <v>0</v>
      </c>
      <c r="K31" s="21">
        <v>0</v>
      </c>
      <c r="L31" s="22">
        <f t="shared" si="0"/>
        <v>0</v>
      </c>
    </row>
    <row r="32" spans="1:12" hidden="1" x14ac:dyDescent="0.25">
      <c r="A32" t="s">
        <v>431</v>
      </c>
      <c r="B32" s="7" t="s">
        <v>432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1">
        <v>0</v>
      </c>
      <c r="I32" s="22"/>
      <c r="J32" s="21">
        <v>0</v>
      </c>
      <c r="K32" s="21">
        <v>0</v>
      </c>
      <c r="L32" s="22">
        <f t="shared" si="0"/>
        <v>0</v>
      </c>
    </row>
    <row r="33" spans="1:12" x14ac:dyDescent="0.25">
      <c r="A33" t="s">
        <v>433</v>
      </c>
      <c r="B33" s="7" t="s">
        <v>434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1">
        <v>0</v>
      </c>
      <c r="I33" s="22"/>
      <c r="J33" s="21">
        <v>0</v>
      </c>
      <c r="K33" s="21">
        <v>0</v>
      </c>
      <c r="L33" s="22">
        <f t="shared" si="0"/>
        <v>0</v>
      </c>
    </row>
    <row r="34" spans="1:12" x14ac:dyDescent="0.25">
      <c r="A34" t="s">
        <v>435</v>
      </c>
      <c r="B34" s="7" t="s">
        <v>436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1">
        <v>0</v>
      </c>
      <c r="I34" s="22"/>
      <c r="J34" s="21">
        <v>0</v>
      </c>
      <c r="K34" s="21">
        <v>0</v>
      </c>
      <c r="L34" s="22">
        <f t="shared" si="0"/>
        <v>0</v>
      </c>
    </row>
    <row r="35" spans="1:12" x14ac:dyDescent="0.25">
      <c r="A35" t="s">
        <v>437</v>
      </c>
      <c r="B35" s="7" t="s">
        <v>438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1">
        <v>0</v>
      </c>
      <c r="I35" s="22"/>
      <c r="J35" s="21">
        <v>0</v>
      </c>
      <c r="K35" s="21">
        <v>0</v>
      </c>
      <c r="L35" s="22">
        <f t="shared" si="0"/>
        <v>0</v>
      </c>
    </row>
    <row r="36" spans="1:12" hidden="1" x14ac:dyDescent="0.25">
      <c r="A36" t="s">
        <v>439</v>
      </c>
      <c r="B36" s="7" t="s">
        <v>440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1">
        <v>0</v>
      </c>
      <c r="I36" s="22"/>
      <c r="J36" s="21">
        <v>0</v>
      </c>
      <c r="K36" s="21">
        <v>0</v>
      </c>
      <c r="L36" s="22">
        <f t="shared" si="0"/>
        <v>0</v>
      </c>
    </row>
    <row r="37" spans="1:12" x14ac:dyDescent="0.25"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x14ac:dyDescent="0.25"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25">
      <c r="A39" t="s">
        <v>109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x14ac:dyDescent="0.25">
      <c r="B40" t="s">
        <v>441</v>
      </c>
      <c r="C40" s="22">
        <f t="shared" ref="C40:H40" si="1">SUM(C13:C36)</f>
        <v>212623</v>
      </c>
      <c r="D40" s="22">
        <f t="shared" si="1"/>
        <v>311743</v>
      </c>
      <c r="E40" s="22">
        <f t="shared" si="1"/>
        <v>314108</v>
      </c>
      <c r="F40" s="22">
        <f t="shared" si="1"/>
        <v>275960</v>
      </c>
      <c r="G40" s="22">
        <f t="shared" si="1"/>
        <v>359821.67</v>
      </c>
      <c r="H40" s="22">
        <f t="shared" si="1"/>
        <v>385082</v>
      </c>
      <c r="I40" s="22"/>
      <c r="J40" s="22">
        <f>SUM(J13:J36)</f>
        <v>257229.56</v>
      </c>
      <c r="K40" s="22">
        <f>SUM(K13:K36)</f>
        <v>0</v>
      </c>
      <c r="L40" s="22">
        <f>SUM(L13:L36)</f>
        <v>257229.56</v>
      </c>
    </row>
    <row r="41" spans="1:12" x14ac:dyDescent="0.25"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x14ac:dyDescent="0.25">
      <c r="A42" t="s">
        <v>478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x14ac:dyDescent="0.25">
      <c r="A43" t="s">
        <v>18</v>
      </c>
      <c r="B43" t="s">
        <v>21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25">
      <c r="A44" t="s">
        <v>444</v>
      </c>
      <c r="B44" t="s">
        <v>445</v>
      </c>
      <c r="C44" s="22">
        <v>17745</v>
      </c>
      <c r="D44" s="22">
        <v>17021</v>
      </c>
      <c r="E44" s="22">
        <v>18823</v>
      </c>
      <c r="F44" s="22">
        <v>21267</v>
      </c>
      <c r="G44" s="22">
        <v>16084.17</v>
      </c>
      <c r="H44" s="21">
        <v>0</v>
      </c>
      <c r="I44" s="22"/>
      <c r="J44" s="21">
        <v>0</v>
      </c>
      <c r="K44" s="21">
        <v>0</v>
      </c>
      <c r="L44" s="22">
        <f>SUM(J44:K44)</f>
        <v>0</v>
      </c>
    </row>
    <row r="45" spans="1:12" x14ac:dyDescent="0.25">
      <c r="A45" t="s">
        <v>446</v>
      </c>
      <c r="B45" t="s">
        <v>447</v>
      </c>
      <c r="C45" s="22">
        <v>56</v>
      </c>
      <c r="D45" s="22">
        <v>0</v>
      </c>
      <c r="E45" s="22">
        <v>0</v>
      </c>
      <c r="F45" s="22">
        <v>100</v>
      </c>
      <c r="G45" s="22">
        <v>0</v>
      </c>
      <c r="H45" s="22">
        <v>0</v>
      </c>
      <c r="I45" s="22"/>
      <c r="J45" s="21">
        <v>100</v>
      </c>
      <c r="K45" s="21">
        <v>0</v>
      </c>
      <c r="L45" s="22">
        <f>SUM(J45:K45)</f>
        <v>100</v>
      </c>
    </row>
    <row r="46" spans="1:12" x14ac:dyDescent="0.25">
      <c r="A46" t="s">
        <v>448</v>
      </c>
      <c r="B46" t="s">
        <v>449</v>
      </c>
      <c r="C46" s="22">
        <v>4240</v>
      </c>
      <c r="D46" s="22">
        <v>786</v>
      </c>
      <c r="E46" s="22">
        <v>2188</v>
      </c>
      <c r="F46" s="22">
        <v>3000</v>
      </c>
      <c r="G46" s="22">
        <v>1038.75</v>
      </c>
      <c r="H46" s="21">
        <v>0</v>
      </c>
      <c r="I46" s="22"/>
      <c r="J46" s="21">
        <v>3000</v>
      </c>
      <c r="K46" s="21">
        <v>0</v>
      </c>
      <c r="L46" s="22">
        <f t="shared" ref="L46:L60" si="2">SUM(J46:K46)</f>
        <v>3000</v>
      </c>
    </row>
    <row r="47" spans="1:12" x14ac:dyDescent="0.25">
      <c r="A47" t="s">
        <v>450</v>
      </c>
      <c r="B47" t="s">
        <v>451</v>
      </c>
      <c r="C47" s="22">
        <v>0</v>
      </c>
      <c r="D47" s="22">
        <v>1560</v>
      </c>
      <c r="E47" s="22">
        <v>195</v>
      </c>
      <c r="F47" s="22">
        <v>500</v>
      </c>
      <c r="G47" s="22">
        <v>716.45</v>
      </c>
      <c r="H47" s="21">
        <v>0</v>
      </c>
      <c r="I47" s="22"/>
      <c r="J47" s="21">
        <v>2500</v>
      </c>
      <c r="K47" s="21">
        <v>0</v>
      </c>
      <c r="L47" s="22">
        <f t="shared" si="2"/>
        <v>2500</v>
      </c>
    </row>
    <row r="48" spans="1:12" x14ac:dyDescent="0.25">
      <c r="A48" t="s">
        <v>452</v>
      </c>
      <c r="B48" t="s">
        <v>453</v>
      </c>
      <c r="C48" s="22">
        <v>345</v>
      </c>
      <c r="D48" s="22">
        <v>0</v>
      </c>
      <c r="E48" s="22">
        <v>510</v>
      </c>
      <c r="F48" s="22">
        <v>1000</v>
      </c>
      <c r="G48" s="22">
        <v>420</v>
      </c>
      <c r="H48" s="21">
        <v>0</v>
      </c>
      <c r="I48" s="22"/>
      <c r="J48" s="21">
        <v>1000</v>
      </c>
      <c r="K48" s="21">
        <v>0</v>
      </c>
      <c r="L48" s="22">
        <f t="shared" si="2"/>
        <v>1000</v>
      </c>
    </row>
    <row r="49" spans="1:12" hidden="1" x14ac:dyDescent="0.25">
      <c r="A49" t="s">
        <v>454</v>
      </c>
      <c r="B49" t="s">
        <v>455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1">
        <v>0</v>
      </c>
      <c r="I49" s="22"/>
      <c r="J49" s="21">
        <v>0</v>
      </c>
      <c r="K49" s="21">
        <v>0</v>
      </c>
      <c r="L49" s="22">
        <f t="shared" si="2"/>
        <v>0</v>
      </c>
    </row>
    <row r="50" spans="1:12" x14ac:dyDescent="0.25">
      <c r="A50" t="s">
        <v>456</v>
      </c>
      <c r="B50" t="s">
        <v>457</v>
      </c>
      <c r="C50" s="22">
        <v>4420</v>
      </c>
      <c r="D50" s="22">
        <v>5131</v>
      </c>
      <c r="E50" s="22">
        <v>5334</v>
      </c>
      <c r="F50" s="22">
        <v>3000</v>
      </c>
      <c r="G50" s="22">
        <v>3899.1</v>
      </c>
      <c r="H50" s="21">
        <v>0</v>
      </c>
      <c r="I50" s="22"/>
      <c r="J50" s="21">
        <v>5000</v>
      </c>
      <c r="K50" s="21">
        <v>0</v>
      </c>
      <c r="L50" s="22">
        <f t="shared" si="2"/>
        <v>5000</v>
      </c>
    </row>
    <row r="51" spans="1:12" x14ac:dyDescent="0.25">
      <c r="A51" t="s">
        <v>458</v>
      </c>
      <c r="B51" t="s">
        <v>459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1">
        <v>0</v>
      </c>
      <c r="I51" s="22"/>
      <c r="J51" s="21">
        <v>0</v>
      </c>
      <c r="K51" s="21">
        <v>0</v>
      </c>
      <c r="L51" s="22">
        <f t="shared" si="2"/>
        <v>0</v>
      </c>
    </row>
    <row r="52" spans="1:12" x14ac:dyDescent="0.25">
      <c r="A52" t="s">
        <v>460</v>
      </c>
      <c r="B52" t="s">
        <v>461</v>
      </c>
      <c r="C52" s="22">
        <v>236</v>
      </c>
      <c r="D52" s="22">
        <v>575</v>
      </c>
      <c r="E52" s="22">
        <v>504</v>
      </c>
      <c r="F52" s="22">
        <v>0</v>
      </c>
      <c r="G52" s="22">
        <v>0</v>
      </c>
      <c r="H52" s="21">
        <v>0</v>
      </c>
      <c r="I52" s="22"/>
      <c r="J52" s="21">
        <v>0</v>
      </c>
      <c r="K52" s="21">
        <v>0</v>
      </c>
      <c r="L52" s="22">
        <f t="shared" si="2"/>
        <v>0</v>
      </c>
    </row>
    <row r="53" spans="1:12" hidden="1" x14ac:dyDescent="0.25">
      <c r="A53" t="s">
        <v>462</v>
      </c>
      <c r="B53" t="s">
        <v>463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1">
        <v>0</v>
      </c>
      <c r="I53" s="22"/>
      <c r="J53" s="21">
        <v>0</v>
      </c>
      <c r="K53" s="21">
        <v>0</v>
      </c>
      <c r="L53" s="22">
        <f t="shared" si="2"/>
        <v>0</v>
      </c>
    </row>
    <row r="54" spans="1:12" x14ac:dyDescent="0.25">
      <c r="A54" t="s">
        <v>464</v>
      </c>
      <c r="B54" t="s">
        <v>465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1">
        <v>0</v>
      </c>
      <c r="I54" s="22"/>
      <c r="J54" s="21">
        <v>0</v>
      </c>
      <c r="K54" s="21">
        <v>0</v>
      </c>
      <c r="L54" s="22">
        <f t="shared" si="2"/>
        <v>0</v>
      </c>
    </row>
    <row r="55" spans="1:12" hidden="1" x14ac:dyDescent="0.25">
      <c r="A55" t="s">
        <v>466</v>
      </c>
      <c r="B55" t="s">
        <v>467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1">
        <v>0</v>
      </c>
      <c r="I55" s="22"/>
      <c r="J55" s="21">
        <v>0</v>
      </c>
      <c r="K55" s="21">
        <v>0</v>
      </c>
      <c r="L55" s="22">
        <f t="shared" si="2"/>
        <v>0</v>
      </c>
    </row>
    <row r="56" spans="1:12" x14ac:dyDescent="0.25">
      <c r="A56" t="s">
        <v>468</v>
      </c>
      <c r="B56" t="s">
        <v>469</v>
      </c>
      <c r="C56" s="22">
        <v>2531</v>
      </c>
      <c r="D56" s="22">
        <v>3246</v>
      </c>
      <c r="E56" s="22">
        <v>5541</v>
      </c>
      <c r="F56" s="22">
        <v>3000</v>
      </c>
      <c r="G56" s="22">
        <v>3402.88</v>
      </c>
      <c r="H56" s="21">
        <v>0</v>
      </c>
      <c r="I56" s="22"/>
      <c r="J56" s="21">
        <v>0</v>
      </c>
      <c r="K56" s="21">
        <v>0</v>
      </c>
      <c r="L56" s="22">
        <f t="shared" si="2"/>
        <v>0</v>
      </c>
    </row>
    <row r="57" spans="1:12" x14ac:dyDescent="0.25">
      <c r="A57" t="s">
        <v>470</v>
      </c>
      <c r="B57" t="s">
        <v>471</v>
      </c>
      <c r="C57" s="22">
        <v>289</v>
      </c>
      <c r="D57" s="22">
        <v>392</v>
      </c>
      <c r="E57" s="22">
        <v>630</v>
      </c>
      <c r="F57" s="22">
        <v>300</v>
      </c>
      <c r="G57" s="22">
        <v>693.5</v>
      </c>
      <c r="H57" s="21">
        <v>0</v>
      </c>
      <c r="I57" s="22"/>
      <c r="J57" s="21">
        <v>0</v>
      </c>
      <c r="K57" s="21">
        <v>0</v>
      </c>
      <c r="L57" s="22">
        <f t="shared" si="2"/>
        <v>0</v>
      </c>
    </row>
    <row r="58" spans="1:12" x14ac:dyDescent="0.25">
      <c r="A58" t="s">
        <v>472</v>
      </c>
      <c r="B58" t="s">
        <v>473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1">
        <v>0</v>
      </c>
      <c r="I58" s="22"/>
      <c r="J58" s="21">
        <v>0</v>
      </c>
      <c r="K58" s="21">
        <v>0</v>
      </c>
      <c r="L58" s="22">
        <f t="shared" si="2"/>
        <v>0</v>
      </c>
    </row>
    <row r="59" spans="1:12" x14ac:dyDescent="0.25">
      <c r="A59" t="s">
        <v>474</v>
      </c>
      <c r="B59" t="s">
        <v>475</v>
      </c>
      <c r="C59" s="22">
        <v>3750</v>
      </c>
      <c r="D59" s="22">
        <v>2793</v>
      </c>
      <c r="E59" s="22">
        <v>4689</v>
      </c>
      <c r="F59" s="22">
        <v>3000</v>
      </c>
      <c r="G59" s="22">
        <v>13454.44</v>
      </c>
      <c r="H59" s="21">
        <v>0</v>
      </c>
      <c r="I59" s="22"/>
      <c r="J59" s="21">
        <v>0</v>
      </c>
      <c r="K59" s="21">
        <v>0</v>
      </c>
      <c r="L59" s="22">
        <f t="shared" si="2"/>
        <v>0</v>
      </c>
    </row>
    <row r="60" spans="1:12" x14ac:dyDescent="0.25">
      <c r="A60" t="s">
        <v>476</v>
      </c>
      <c r="B60" t="s">
        <v>477</v>
      </c>
      <c r="C60" s="22">
        <v>0</v>
      </c>
      <c r="D60" s="22">
        <v>1189</v>
      </c>
      <c r="E60" s="22">
        <v>1418</v>
      </c>
      <c r="F60" s="22">
        <v>750</v>
      </c>
      <c r="G60" s="22">
        <v>707.9</v>
      </c>
      <c r="H60" s="21">
        <v>0</v>
      </c>
      <c r="I60" s="22"/>
      <c r="J60" s="21">
        <v>2500</v>
      </c>
      <c r="K60" s="21">
        <v>0</v>
      </c>
      <c r="L60" s="22">
        <f t="shared" si="2"/>
        <v>2500</v>
      </c>
    </row>
    <row r="61" spans="1:12" x14ac:dyDescent="0.25"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 x14ac:dyDescent="0.25"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x14ac:dyDescent="0.25">
      <c r="A63" t="s">
        <v>109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x14ac:dyDescent="0.25">
      <c r="B64" t="s">
        <v>478</v>
      </c>
      <c r="C64" s="22">
        <f t="shared" ref="C64:H64" si="3">SUM(C44:C60)</f>
        <v>33612</v>
      </c>
      <c r="D64" s="22">
        <f t="shared" si="3"/>
        <v>32693</v>
      </c>
      <c r="E64" s="22">
        <f t="shared" si="3"/>
        <v>39832</v>
      </c>
      <c r="F64" s="22">
        <f t="shared" si="3"/>
        <v>35917</v>
      </c>
      <c r="G64" s="22">
        <f t="shared" si="3"/>
        <v>40417.19</v>
      </c>
      <c r="H64" s="22">
        <f t="shared" si="3"/>
        <v>0</v>
      </c>
      <c r="I64" s="22"/>
      <c r="J64" s="22">
        <f>SUM(J44:J60)</f>
        <v>14100</v>
      </c>
      <c r="K64" s="22">
        <f>SUM(K44:K60)</f>
        <v>0</v>
      </c>
      <c r="L64" s="22">
        <f>SUM(L44:L60)</f>
        <v>14100</v>
      </c>
    </row>
    <row r="65" spans="1:12" x14ac:dyDescent="0.25"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x14ac:dyDescent="0.25">
      <c r="A66" t="s">
        <v>489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x14ac:dyDescent="0.25">
      <c r="A67" t="s">
        <v>18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x14ac:dyDescent="0.25">
      <c r="A68" t="s">
        <v>490</v>
      </c>
      <c r="B68" t="s">
        <v>491</v>
      </c>
      <c r="C68" s="22">
        <v>0</v>
      </c>
      <c r="D68" s="22">
        <v>300</v>
      </c>
      <c r="E68" s="22">
        <v>0</v>
      </c>
      <c r="F68" s="22">
        <v>400</v>
      </c>
      <c r="G68" s="22">
        <v>0</v>
      </c>
      <c r="H68" s="21">
        <v>0</v>
      </c>
      <c r="I68" s="22"/>
      <c r="J68" s="21">
        <v>1000</v>
      </c>
      <c r="K68" s="21">
        <v>0</v>
      </c>
      <c r="L68" s="22">
        <f>SUM(J68:K68)</f>
        <v>1000</v>
      </c>
    </row>
    <row r="69" spans="1:12" x14ac:dyDescent="0.25">
      <c r="A69" t="s">
        <v>492</v>
      </c>
      <c r="B69" t="s">
        <v>493</v>
      </c>
      <c r="C69" s="22">
        <v>3076</v>
      </c>
      <c r="D69" s="22">
        <v>4030</v>
      </c>
      <c r="E69" s="22">
        <v>4014</v>
      </c>
      <c r="F69" s="22">
        <v>3500</v>
      </c>
      <c r="G69" s="22">
        <v>3000</v>
      </c>
      <c r="H69" s="21">
        <v>0</v>
      </c>
      <c r="I69" s="22"/>
      <c r="J69" s="21">
        <v>0</v>
      </c>
      <c r="K69" s="21">
        <v>0</v>
      </c>
      <c r="L69" s="22">
        <f t="shared" ref="L69:L73" si="4">SUM(J69:K69)</f>
        <v>0</v>
      </c>
    </row>
    <row r="70" spans="1:12" x14ac:dyDescent="0.25">
      <c r="A70" t="s">
        <v>494</v>
      </c>
      <c r="B70" t="s">
        <v>489</v>
      </c>
      <c r="C70" s="22">
        <v>3971</v>
      </c>
      <c r="D70" s="22">
        <v>3956</v>
      </c>
      <c r="E70" s="22">
        <v>3273</v>
      </c>
      <c r="F70" s="22">
        <v>3250</v>
      </c>
      <c r="G70" s="22">
        <v>6236.25</v>
      </c>
      <c r="H70" s="21">
        <v>0</v>
      </c>
      <c r="I70" s="22"/>
      <c r="J70" s="21">
        <v>2500</v>
      </c>
      <c r="K70" s="21">
        <v>0</v>
      </c>
      <c r="L70" s="22">
        <f t="shared" si="4"/>
        <v>2500</v>
      </c>
    </row>
    <row r="71" spans="1:12" x14ac:dyDescent="0.25">
      <c r="A71" t="s">
        <v>495</v>
      </c>
      <c r="B71" t="s">
        <v>496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1">
        <v>0</v>
      </c>
      <c r="I71" s="22"/>
      <c r="J71" s="21">
        <v>0</v>
      </c>
      <c r="K71" s="21">
        <v>0</v>
      </c>
      <c r="L71" s="22">
        <f t="shared" si="4"/>
        <v>0</v>
      </c>
    </row>
    <row r="72" spans="1:12" hidden="1" x14ac:dyDescent="0.25">
      <c r="A72" t="s">
        <v>497</v>
      </c>
      <c r="B72" t="s">
        <v>498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1">
        <v>0</v>
      </c>
      <c r="I72" s="22"/>
      <c r="J72" s="21">
        <v>0</v>
      </c>
      <c r="K72" s="21">
        <v>0</v>
      </c>
      <c r="L72" s="22">
        <f t="shared" si="4"/>
        <v>0</v>
      </c>
    </row>
    <row r="73" spans="1:12" hidden="1" x14ac:dyDescent="0.25">
      <c r="A73" t="s">
        <v>499</v>
      </c>
      <c r="B73" t="s">
        <v>500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1">
        <v>0</v>
      </c>
      <c r="I73" s="22"/>
      <c r="J73" s="21">
        <v>0</v>
      </c>
      <c r="K73" s="21">
        <v>0</v>
      </c>
      <c r="L73" s="22">
        <f t="shared" si="4"/>
        <v>0</v>
      </c>
    </row>
    <row r="74" spans="1:12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 x14ac:dyDescent="0.25">
      <c r="A76" t="s">
        <v>109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x14ac:dyDescent="0.25">
      <c r="B77" t="s">
        <v>489</v>
      </c>
      <c r="C77" s="22">
        <f t="shared" ref="C77:H77" si="5">SUM(C68:C73)</f>
        <v>7047</v>
      </c>
      <c r="D77" s="22">
        <f t="shared" si="5"/>
        <v>8286</v>
      </c>
      <c r="E77" s="22">
        <f t="shared" si="5"/>
        <v>7287</v>
      </c>
      <c r="F77" s="22">
        <f t="shared" si="5"/>
        <v>7150</v>
      </c>
      <c r="G77" s="22">
        <f t="shared" si="5"/>
        <v>9236.25</v>
      </c>
      <c r="H77" s="22">
        <f t="shared" si="5"/>
        <v>0</v>
      </c>
      <c r="I77" s="22"/>
      <c r="J77" s="22">
        <f>SUM(J68:J73)</f>
        <v>3500</v>
      </c>
      <c r="K77" s="22">
        <f>SUM(K68:K73)</f>
        <v>0</v>
      </c>
      <c r="L77" s="22">
        <f>SUM(L68:L73)</f>
        <v>3500</v>
      </c>
    </row>
    <row r="78" spans="1:12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 x14ac:dyDescent="0.25">
      <c r="A79" t="s">
        <v>501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 x14ac:dyDescent="0.25">
      <c r="A80" t="s">
        <v>18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 x14ac:dyDescent="0.25">
      <c r="A81" t="s">
        <v>502</v>
      </c>
      <c r="B81" t="s">
        <v>503</v>
      </c>
      <c r="C81" s="22">
        <v>5250</v>
      </c>
      <c r="D81" s="22">
        <v>3045</v>
      </c>
      <c r="E81" s="22">
        <v>0</v>
      </c>
      <c r="F81" s="22">
        <v>18000</v>
      </c>
      <c r="G81" s="22">
        <v>5799</v>
      </c>
      <c r="H81" s="21">
        <v>0</v>
      </c>
      <c r="I81" s="22"/>
      <c r="J81" s="21">
        <v>15000</v>
      </c>
      <c r="K81" s="21">
        <v>0</v>
      </c>
      <c r="L81" s="22">
        <f>SUM(J81:K81)</f>
        <v>15000</v>
      </c>
    </row>
    <row r="82" spans="1:12" x14ac:dyDescent="0.25">
      <c r="A82" t="s">
        <v>504</v>
      </c>
      <c r="B82" t="s">
        <v>505</v>
      </c>
      <c r="C82" s="22">
        <v>9975</v>
      </c>
      <c r="D82" s="22">
        <v>11250</v>
      </c>
      <c r="E82" s="22">
        <v>12750</v>
      </c>
      <c r="F82" s="22">
        <v>20000</v>
      </c>
      <c r="G82" s="22">
        <v>7250</v>
      </c>
      <c r="H82" s="21">
        <v>0</v>
      </c>
      <c r="I82" s="22"/>
      <c r="J82" s="21">
        <v>15000</v>
      </c>
      <c r="K82" s="21">
        <v>0</v>
      </c>
      <c r="L82" s="22">
        <f t="shared" ref="L82:L91" si="6">SUM(J82:K82)</f>
        <v>15000</v>
      </c>
    </row>
    <row r="83" spans="1:12" x14ac:dyDescent="0.25">
      <c r="A83" t="s">
        <v>506</v>
      </c>
      <c r="B83" t="s">
        <v>507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1">
        <v>0</v>
      </c>
      <c r="I83" s="22"/>
      <c r="J83" s="21">
        <v>0</v>
      </c>
      <c r="K83" s="21">
        <v>0</v>
      </c>
      <c r="L83" s="22">
        <f t="shared" si="6"/>
        <v>0</v>
      </c>
    </row>
    <row r="84" spans="1:12" x14ac:dyDescent="0.25">
      <c r="A84" t="s">
        <v>508</v>
      </c>
      <c r="B84" t="s">
        <v>509</v>
      </c>
      <c r="C84" s="22">
        <v>0</v>
      </c>
      <c r="D84" s="22">
        <v>86800</v>
      </c>
      <c r="E84" s="22">
        <v>20398</v>
      </c>
      <c r="F84" s="22">
        <v>30000</v>
      </c>
      <c r="G84" s="22">
        <v>0</v>
      </c>
      <c r="H84" s="21">
        <v>0</v>
      </c>
      <c r="I84" s="22"/>
      <c r="J84" s="21">
        <v>15000</v>
      </c>
      <c r="K84" s="21">
        <v>0</v>
      </c>
      <c r="L84" s="22">
        <f t="shared" si="6"/>
        <v>15000</v>
      </c>
    </row>
    <row r="85" spans="1:12" x14ac:dyDescent="0.25">
      <c r="A85" t="s">
        <v>510</v>
      </c>
      <c r="B85" t="s">
        <v>511</v>
      </c>
      <c r="C85" s="22">
        <v>1750</v>
      </c>
      <c r="D85" s="22">
        <v>8378</v>
      </c>
      <c r="E85" s="22">
        <v>399</v>
      </c>
      <c r="F85" s="22">
        <v>5000</v>
      </c>
      <c r="G85" s="22">
        <v>0</v>
      </c>
      <c r="H85" s="21">
        <v>0</v>
      </c>
      <c r="I85" s="22"/>
      <c r="J85" s="21">
        <v>0</v>
      </c>
      <c r="K85" s="21">
        <v>0</v>
      </c>
      <c r="L85" s="22">
        <f t="shared" si="6"/>
        <v>0</v>
      </c>
    </row>
    <row r="86" spans="1:12" x14ac:dyDescent="0.25">
      <c r="A86" t="s">
        <v>512</v>
      </c>
      <c r="B86" t="s">
        <v>513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1">
        <v>0</v>
      </c>
      <c r="I86" s="22"/>
      <c r="J86" s="21">
        <v>0</v>
      </c>
      <c r="K86" s="21">
        <v>0</v>
      </c>
      <c r="L86" s="22">
        <f t="shared" si="6"/>
        <v>0</v>
      </c>
    </row>
    <row r="87" spans="1:12" x14ac:dyDescent="0.25">
      <c r="A87" t="s">
        <v>514</v>
      </c>
      <c r="B87" t="s">
        <v>515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1">
        <v>0</v>
      </c>
      <c r="I87" s="22"/>
      <c r="J87" s="21">
        <v>0</v>
      </c>
      <c r="K87" s="21">
        <v>0</v>
      </c>
      <c r="L87" s="22">
        <f t="shared" si="6"/>
        <v>0</v>
      </c>
    </row>
    <row r="88" spans="1:12" x14ac:dyDescent="0.25">
      <c r="A88" t="s">
        <v>516</v>
      </c>
      <c r="B88" t="s">
        <v>517</v>
      </c>
      <c r="C88" s="22">
        <v>4000</v>
      </c>
      <c r="D88" s="22">
        <v>0</v>
      </c>
      <c r="E88" s="22">
        <v>0</v>
      </c>
      <c r="F88" s="22">
        <v>2000</v>
      </c>
      <c r="G88" s="22">
        <v>0</v>
      </c>
      <c r="H88" s="21">
        <v>0</v>
      </c>
      <c r="I88" s="22"/>
      <c r="J88" s="21">
        <v>2000</v>
      </c>
      <c r="K88" s="21">
        <v>0</v>
      </c>
      <c r="L88" s="22">
        <f t="shared" si="6"/>
        <v>2000</v>
      </c>
    </row>
    <row r="89" spans="1:12" x14ac:dyDescent="0.25">
      <c r="A89" t="s">
        <v>518</v>
      </c>
      <c r="B89" t="s">
        <v>519</v>
      </c>
      <c r="C89" s="22">
        <v>0</v>
      </c>
      <c r="D89" s="22">
        <v>0</v>
      </c>
      <c r="E89" s="22">
        <v>0</v>
      </c>
      <c r="F89" s="22">
        <v>1000</v>
      </c>
      <c r="G89" s="22">
        <v>0</v>
      </c>
      <c r="H89" s="21">
        <v>0</v>
      </c>
      <c r="I89" s="22"/>
      <c r="J89" s="21">
        <v>0</v>
      </c>
      <c r="K89" s="21">
        <v>0</v>
      </c>
      <c r="L89" s="22">
        <f t="shared" si="6"/>
        <v>0</v>
      </c>
    </row>
    <row r="90" spans="1:12" x14ac:dyDescent="0.25">
      <c r="A90" t="s">
        <v>520</v>
      </c>
      <c r="B90" t="s">
        <v>521</v>
      </c>
      <c r="C90" s="22">
        <v>550</v>
      </c>
      <c r="D90" s="22">
        <v>0</v>
      </c>
      <c r="E90" s="22">
        <v>0</v>
      </c>
      <c r="F90" s="22">
        <v>10000</v>
      </c>
      <c r="G90" s="22">
        <v>0</v>
      </c>
      <c r="H90" s="21">
        <v>0</v>
      </c>
      <c r="I90" s="22"/>
      <c r="J90" s="21">
        <v>0</v>
      </c>
      <c r="K90" s="21">
        <v>0</v>
      </c>
      <c r="L90" s="22">
        <f t="shared" si="6"/>
        <v>0</v>
      </c>
    </row>
    <row r="91" spans="1:12" x14ac:dyDescent="0.25">
      <c r="A91" t="s">
        <v>522</v>
      </c>
      <c r="B91" t="s">
        <v>523</v>
      </c>
      <c r="C91" s="22">
        <v>17603</v>
      </c>
      <c r="D91" s="22">
        <v>8143</v>
      </c>
      <c r="E91" s="22">
        <v>10959</v>
      </c>
      <c r="F91" s="22">
        <v>15000</v>
      </c>
      <c r="G91" s="22">
        <v>26999.82</v>
      </c>
      <c r="H91" s="21">
        <v>0</v>
      </c>
      <c r="I91" s="22"/>
      <c r="J91" s="21">
        <v>0</v>
      </c>
      <c r="K91" s="21">
        <v>0</v>
      </c>
      <c r="L91" s="22">
        <f t="shared" si="6"/>
        <v>0</v>
      </c>
    </row>
    <row r="92" spans="1:12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1:12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1:12" x14ac:dyDescent="0.25">
      <c r="A94" t="s">
        <v>109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 x14ac:dyDescent="0.25">
      <c r="B95" t="s">
        <v>501</v>
      </c>
      <c r="C95" s="22">
        <f t="shared" ref="C95:H95" si="7">SUM(C81:C91)</f>
        <v>39128</v>
      </c>
      <c r="D95" s="22">
        <f t="shared" si="7"/>
        <v>117616</v>
      </c>
      <c r="E95" s="22">
        <f t="shared" si="7"/>
        <v>44506</v>
      </c>
      <c r="F95" s="22">
        <f t="shared" si="7"/>
        <v>101000</v>
      </c>
      <c r="G95" s="22">
        <f t="shared" si="7"/>
        <v>40048.82</v>
      </c>
      <c r="H95" s="22">
        <f t="shared" si="7"/>
        <v>0</v>
      </c>
      <c r="I95" s="22"/>
      <c r="J95" s="22">
        <f>SUM(J81:J91)</f>
        <v>47000</v>
      </c>
      <c r="K95" s="22">
        <f>SUM(K81:K91)</f>
        <v>0</v>
      </c>
      <c r="L95" s="22">
        <f>SUM(L81:L91)</f>
        <v>47000</v>
      </c>
    </row>
    <row r="96" spans="1:12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spans="1:12" x14ac:dyDescent="0.25">
      <c r="A97" t="s">
        <v>530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1:12" x14ac:dyDescent="0.25">
      <c r="A98" t="s">
        <v>18</v>
      </c>
      <c r="B98" t="s">
        <v>526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1:12" hidden="1" x14ac:dyDescent="0.25">
      <c r="A99" t="s">
        <v>527</v>
      </c>
      <c r="B99" t="s">
        <v>528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1">
        <v>0</v>
      </c>
      <c r="I99" s="22"/>
      <c r="J99" s="21">
        <v>0</v>
      </c>
      <c r="K99" s="21">
        <v>0</v>
      </c>
      <c r="L99" s="22">
        <f>SUM(J99:K99)</f>
        <v>0</v>
      </c>
    </row>
    <row r="100" spans="1:12" x14ac:dyDescent="0.25">
      <c r="A100" t="s">
        <v>529</v>
      </c>
      <c r="B100" t="s">
        <v>530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1">
        <v>0</v>
      </c>
      <c r="I100" s="22"/>
      <c r="J100" s="21">
        <v>0</v>
      </c>
      <c r="K100" s="21">
        <v>0</v>
      </c>
      <c r="L100" s="22">
        <f t="shared" ref="L100:L104" si="8">SUM(J100:K100)</f>
        <v>0</v>
      </c>
    </row>
    <row r="101" spans="1:12" x14ac:dyDescent="0.25">
      <c r="A101" t="s">
        <v>531</v>
      </c>
      <c r="B101" t="s">
        <v>532</v>
      </c>
      <c r="C101" s="22">
        <v>0</v>
      </c>
      <c r="D101" s="22">
        <v>25001</v>
      </c>
      <c r="E101" s="22">
        <v>5061</v>
      </c>
      <c r="F101" s="22">
        <v>0</v>
      </c>
      <c r="G101" s="22">
        <v>0</v>
      </c>
      <c r="H101" s="21">
        <v>0</v>
      </c>
      <c r="I101" s="22"/>
      <c r="J101" s="21">
        <v>0</v>
      </c>
      <c r="K101" s="21">
        <v>0</v>
      </c>
      <c r="L101" s="22">
        <f t="shared" si="8"/>
        <v>0</v>
      </c>
    </row>
    <row r="102" spans="1:12" x14ac:dyDescent="0.25">
      <c r="A102" t="s">
        <v>533</v>
      </c>
      <c r="B102" t="s">
        <v>534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1">
        <v>0</v>
      </c>
      <c r="I102" s="22"/>
      <c r="J102" s="21">
        <v>0</v>
      </c>
      <c r="K102" s="21">
        <v>0</v>
      </c>
      <c r="L102" s="22">
        <f t="shared" si="8"/>
        <v>0</v>
      </c>
    </row>
    <row r="103" spans="1:12" hidden="1" x14ac:dyDescent="0.25">
      <c r="A103" t="s">
        <v>535</v>
      </c>
      <c r="B103" t="s">
        <v>75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1">
        <v>0</v>
      </c>
      <c r="I103" s="22"/>
      <c r="J103" s="21">
        <v>0</v>
      </c>
      <c r="K103" s="21">
        <v>0</v>
      </c>
      <c r="L103" s="22">
        <f t="shared" si="8"/>
        <v>0</v>
      </c>
    </row>
    <row r="104" spans="1:12" hidden="1" x14ac:dyDescent="0.25">
      <c r="A104" t="s">
        <v>536</v>
      </c>
      <c r="B104" t="s">
        <v>537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1">
        <v>0</v>
      </c>
      <c r="I104" s="22"/>
      <c r="J104" s="21">
        <v>0</v>
      </c>
      <c r="K104" s="21">
        <v>0</v>
      </c>
      <c r="L104" s="22">
        <f t="shared" si="8"/>
        <v>0</v>
      </c>
    </row>
    <row r="105" spans="1:12" x14ac:dyDescent="0.25">
      <c r="C105" s="12"/>
      <c r="D105" s="12"/>
      <c r="E105" s="12"/>
      <c r="F105" s="12"/>
      <c r="G105" s="12"/>
      <c r="H105" s="12"/>
      <c r="I105" s="12"/>
      <c r="J105" s="12"/>
      <c r="K105" s="12"/>
      <c r="L105" s="12"/>
    </row>
    <row r="106" spans="1:12" x14ac:dyDescent="0.25">
      <c r="C106" s="12"/>
      <c r="D106" s="12"/>
      <c r="E106" s="12"/>
      <c r="F106" s="12"/>
      <c r="G106" s="12"/>
      <c r="H106" s="12"/>
      <c r="I106" s="12"/>
      <c r="J106" s="12"/>
      <c r="K106" s="12"/>
      <c r="L106" s="12"/>
    </row>
    <row r="107" spans="1:12" x14ac:dyDescent="0.25">
      <c r="A107" t="s">
        <v>109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</row>
    <row r="108" spans="1:12" x14ac:dyDescent="0.25">
      <c r="B108" t="s">
        <v>530</v>
      </c>
      <c r="C108" s="22">
        <f t="shared" ref="C108:H108" si="9">SUM(C99:C104)</f>
        <v>0</v>
      </c>
      <c r="D108" s="22">
        <f t="shared" si="9"/>
        <v>25001</v>
      </c>
      <c r="E108" s="22">
        <f t="shared" si="9"/>
        <v>5061</v>
      </c>
      <c r="F108" s="22">
        <f t="shared" si="9"/>
        <v>0</v>
      </c>
      <c r="G108" s="22">
        <f t="shared" si="9"/>
        <v>0</v>
      </c>
      <c r="H108" s="22">
        <f t="shared" si="9"/>
        <v>0</v>
      </c>
      <c r="I108" s="22"/>
      <c r="J108" s="22">
        <f>SUM(J99:J104)</f>
        <v>0</v>
      </c>
      <c r="K108" s="22">
        <f>SUM(K99:K104)</f>
        <v>0</v>
      </c>
      <c r="L108" s="22">
        <f>SUM(L99:L104)</f>
        <v>0</v>
      </c>
    </row>
    <row r="109" spans="1:12" x14ac:dyDescent="0.25">
      <c r="C109" s="12"/>
      <c r="D109" s="12"/>
      <c r="E109" s="12"/>
      <c r="F109" s="12"/>
      <c r="G109" s="12"/>
      <c r="H109" s="12"/>
      <c r="I109" s="12"/>
      <c r="J109" s="12"/>
      <c r="K109" s="12"/>
      <c r="L109" s="12"/>
    </row>
    <row r="110" spans="1:12" x14ac:dyDescent="0.25">
      <c r="C110" s="12"/>
      <c r="D110" s="12"/>
      <c r="E110" s="12"/>
      <c r="F110" s="12"/>
      <c r="G110" s="12"/>
      <c r="H110" s="12"/>
      <c r="I110" s="12"/>
      <c r="J110" s="12"/>
      <c r="K110" s="12"/>
      <c r="L110" s="12"/>
    </row>
    <row r="111" spans="1:12" x14ac:dyDescent="0.25">
      <c r="A111" t="s">
        <v>109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</row>
    <row r="112" spans="1:12" x14ac:dyDescent="0.25">
      <c r="A112">
        <v>10</v>
      </c>
      <c r="B112" t="s">
        <v>3543</v>
      </c>
      <c r="C112" s="22">
        <f>C40+C64+C77+C95+C108</f>
        <v>292410</v>
      </c>
      <c r="D112" s="22">
        <f t="shared" ref="D112:H112" si="10">D40+D64+D77+D95+D108</f>
        <v>495339</v>
      </c>
      <c r="E112" s="22">
        <f t="shared" si="10"/>
        <v>410794</v>
      </c>
      <c r="F112" s="22">
        <f t="shared" si="10"/>
        <v>420027</v>
      </c>
      <c r="G112" s="22">
        <f t="shared" si="10"/>
        <v>449523.93</v>
      </c>
      <c r="H112" s="22">
        <f t="shared" si="10"/>
        <v>385082</v>
      </c>
      <c r="I112" s="22"/>
      <c r="J112" s="22">
        <f>J40+J64+J77+J95+J108</f>
        <v>321829.56</v>
      </c>
      <c r="K112" s="22">
        <f>K40+K64+K77+K95+K108</f>
        <v>0</v>
      </c>
      <c r="L112" s="22">
        <f>L40+L64+L77+L95+L108</f>
        <v>321829.56</v>
      </c>
    </row>
  </sheetData>
  <sheetProtection algorithmName="SHA-512" hashValue="qxkr0ksS68QxF3JMiBtdlFTjPTWesBNedmV82jC+U0AgsUn2aE+jm7mETfjXo5VUwv3BjIvuj968PajENR0ErQ==" saltValue="wQAmek2Pm2doCKlmpCVYCQ==" spinCount="100000" sheet="1" insertRows="0"/>
  <pageMargins left="0.25" right="0.25" top="0.75" bottom="0.75" header="0.3" footer="0.3"/>
  <pageSetup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BF05-BF81-437D-8EBF-248003872EB1}">
  <sheetPr>
    <pageSetUpPr fitToPage="1"/>
  </sheetPr>
  <dimension ref="A1:L73"/>
  <sheetViews>
    <sheetView zoomScaleNormal="100" workbookViewId="0">
      <pane ySplit="7" topLeftCell="A8" activePane="bottomLeft" state="frozen"/>
      <selection pane="bottomLeft" activeCell="N24" sqref="N24"/>
    </sheetView>
  </sheetViews>
  <sheetFormatPr defaultRowHeight="15" x14ac:dyDescent="0.25"/>
  <cols>
    <col min="1" max="1" width="10.5703125" bestFit="1" customWidth="1"/>
    <col min="2" max="2" width="34.7109375" style="7" bestFit="1" customWidth="1"/>
    <col min="3" max="3" width="13.28515625" bestFit="1" customWidth="1"/>
    <col min="4" max="4" width="15" bestFit="1" customWidth="1"/>
    <col min="5" max="5" width="14" bestFit="1" customWidth="1"/>
    <col min="6" max="6" width="14.140625" bestFit="1" customWidth="1"/>
    <col min="7" max="7" width="12.5703125" bestFit="1" customWidth="1"/>
    <col min="8" max="8" width="13.28515625" bestFit="1" customWidth="1"/>
    <col min="9" max="9" width="11.5703125" bestFit="1" customWidth="1"/>
    <col min="10" max="10" width="13.28515625" bestFit="1" customWidth="1"/>
    <col min="11" max="11" width="14.7109375" bestFit="1" customWidth="1"/>
    <col min="12" max="12" width="14.140625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5" t="s">
        <v>2</v>
      </c>
      <c r="G3" s="3" t="s">
        <v>3410</v>
      </c>
      <c r="H3" t="s">
        <v>4</v>
      </c>
      <c r="J3" s="5" t="s">
        <v>3411</v>
      </c>
      <c r="K3" s="3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/>
      <c r="J4" s="3" t="s">
        <v>3414</v>
      </c>
      <c r="K4" s="3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3" t="s">
        <v>17</v>
      </c>
      <c r="I5" s="3"/>
      <c r="J5" s="3" t="s">
        <v>13</v>
      </c>
      <c r="K5" s="3" t="s">
        <v>3417</v>
      </c>
      <c r="L5" s="3" t="s">
        <v>13</v>
      </c>
    </row>
    <row r="6" spans="1:12" x14ac:dyDescent="0.25">
      <c r="A6" t="s">
        <v>18</v>
      </c>
      <c r="B6" s="7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t="s">
        <v>20</v>
      </c>
      <c r="J6" t="s">
        <v>24</v>
      </c>
      <c r="K6" t="s">
        <v>20</v>
      </c>
      <c r="L6" t="s">
        <v>20</v>
      </c>
    </row>
    <row r="7" spans="1:12" x14ac:dyDescent="0.25">
      <c r="A7" t="s">
        <v>152</v>
      </c>
    </row>
    <row r="10" spans="1:12" hidden="1" x14ac:dyDescent="0.25">
      <c r="A10" t="s">
        <v>441</v>
      </c>
    </row>
    <row r="11" spans="1:12" hidden="1" x14ac:dyDescent="0.25">
      <c r="A11" t="s">
        <v>18</v>
      </c>
      <c r="B11" s="7" t="s">
        <v>228</v>
      </c>
    </row>
    <row r="12" spans="1:12" hidden="1" x14ac:dyDescent="0.25">
      <c r="A12" t="s">
        <v>539</v>
      </c>
      <c r="B12" s="7" t="s">
        <v>396</v>
      </c>
      <c r="C12" s="22">
        <v>1</v>
      </c>
      <c r="D12" s="22">
        <v>0</v>
      </c>
      <c r="E12" s="22">
        <v>0</v>
      </c>
      <c r="F12" s="22">
        <v>0</v>
      </c>
      <c r="G12" s="22">
        <v>0</v>
      </c>
      <c r="H12" s="21">
        <v>0</v>
      </c>
      <c r="I12" s="22"/>
      <c r="J12" s="21">
        <v>0</v>
      </c>
      <c r="K12" s="21">
        <v>0</v>
      </c>
      <c r="L12" s="22">
        <f>SUM(J12+K12)</f>
        <v>0</v>
      </c>
    </row>
    <row r="13" spans="1:12" hidden="1" x14ac:dyDescent="0.25">
      <c r="A13" t="s">
        <v>540</v>
      </c>
      <c r="B13" s="7" t="s">
        <v>398</v>
      </c>
      <c r="C13" s="22">
        <v>114</v>
      </c>
      <c r="D13" s="22">
        <v>0</v>
      </c>
      <c r="E13" s="22">
        <v>0</v>
      </c>
      <c r="F13" s="22">
        <v>0</v>
      </c>
      <c r="G13" s="22">
        <v>0</v>
      </c>
      <c r="H13" s="21">
        <v>0</v>
      </c>
      <c r="I13" s="22"/>
      <c r="J13" s="21">
        <v>0</v>
      </c>
      <c r="K13" s="21">
        <v>0</v>
      </c>
      <c r="L13" s="22">
        <f>SUM(J13+K13)</f>
        <v>0</v>
      </c>
    </row>
    <row r="14" spans="1:12" hidden="1" x14ac:dyDescent="0.25">
      <c r="A14" t="s">
        <v>541</v>
      </c>
      <c r="B14" s="7" t="s">
        <v>430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1">
        <v>0</v>
      </c>
      <c r="I14" s="22"/>
      <c r="J14" s="21">
        <v>0</v>
      </c>
      <c r="K14" s="21">
        <v>0</v>
      </c>
      <c r="L14" s="22">
        <f>SUM(J14+K14)</f>
        <v>0</v>
      </c>
    </row>
    <row r="15" spans="1:12" hidden="1" x14ac:dyDescent="0.25">
      <c r="A15" t="s">
        <v>542</v>
      </c>
      <c r="B15" s="7" t="s">
        <v>543</v>
      </c>
      <c r="C15" s="22">
        <v>1484</v>
      </c>
      <c r="D15" s="22">
        <v>0</v>
      </c>
      <c r="E15" s="22">
        <v>0</v>
      </c>
      <c r="F15" s="22">
        <v>0</v>
      </c>
      <c r="G15" s="22">
        <v>0</v>
      </c>
      <c r="H15" s="21">
        <v>0</v>
      </c>
      <c r="I15" s="22"/>
      <c r="J15" s="21">
        <v>0</v>
      </c>
      <c r="K15" s="21">
        <v>0</v>
      </c>
      <c r="L15" s="22">
        <f>SUM(J15+K15)</f>
        <v>0</v>
      </c>
    </row>
    <row r="16" spans="1:12" hidden="1" x14ac:dyDescent="0.25">
      <c r="C16" s="10"/>
      <c r="D16" s="10"/>
      <c r="E16" s="10"/>
      <c r="F16" s="10"/>
      <c r="G16" s="10"/>
      <c r="H16" s="11"/>
      <c r="I16" s="12"/>
      <c r="J16" s="12"/>
      <c r="K16" s="12"/>
      <c r="L16" s="12"/>
    </row>
    <row r="17" spans="1:12" hidden="1" x14ac:dyDescent="0.25">
      <c r="C17" s="10"/>
      <c r="D17" s="10"/>
      <c r="E17" s="10"/>
      <c r="F17" s="10"/>
      <c r="G17" s="10"/>
      <c r="H17" s="11"/>
      <c r="I17" s="12"/>
      <c r="J17" s="12"/>
      <c r="K17" s="12"/>
      <c r="L17" s="12"/>
    </row>
    <row r="18" spans="1:12" hidden="1" x14ac:dyDescent="0.25">
      <c r="A18" t="s">
        <v>109</v>
      </c>
      <c r="C18" s="10"/>
      <c r="D18" s="10"/>
      <c r="E18" s="10"/>
      <c r="F18" s="10"/>
      <c r="G18" s="10"/>
      <c r="H18" s="11"/>
      <c r="I18" s="12"/>
      <c r="J18" s="12"/>
      <c r="K18" s="12"/>
      <c r="L18" s="12"/>
    </row>
    <row r="19" spans="1:12" hidden="1" x14ac:dyDescent="0.25">
      <c r="B19" s="7" t="s">
        <v>441</v>
      </c>
      <c r="C19" s="20">
        <f t="shared" ref="C19:H19" si="0">SUM(C12:C15)</f>
        <v>1599</v>
      </c>
      <c r="D19" s="20">
        <f t="shared" si="0"/>
        <v>0</v>
      </c>
      <c r="E19" s="20">
        <f t="shared" si="0"/>
        <v>0</v>
      </c>
      <c r="F19" s="20">
        <f t="shared" si="0"/>
        <v>0</v>
      </c>
      <c r="G19" s="20">
        <f t="shared" si="0"/>
        <v>0</v>
      </c>
      <c r="H19" s="21">
        <f t="shared" si="0"/>
        <v>0</v>
      </c>
      <c r="I19" s="22"/>
      <c r="J19" s="22">
        <f>SUM(J12:J15)</f>
        <v>0</v>
      </c>
      <c r="K19" s="22">
        <f>SUM(K12:K15)</f>
        <v>0</v>
      </c>
      <c r="L19" s="22">
        <f>SUM(L12:L15)</f>
        <v>0</v>
      </c>
    </row>
    <row r="20" spans="1:12" x14ac:dyDescent="0.25">
      <c r="C20" s="10"/>
      <c r="D20" s="10"/>
      <c r="E20" s="10"/>
      <c r="F20" s="10"/>
      <c r="G20" s="10"/>
      <c r="H20" s="11"/>
      <c r="I20" s="12"/>
      <c r="J20" s="12"/>
      <c r="K20" s="12"/>
      <c r="L20" s="12"/>
    </row>
    <row r="21" spans="1:12" x14ac:dyDescent="0.25">
      <c r="A21" t="s">
        <v>478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2" x14ac:dyDescent="0.25">
      <c r="A22" t="s">
        <v>18</v>
      </c>
      <c r="B22" s="7" t="s">
        <v>21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x14ac:dyDescent="0.25">
      <c r="A23" t="s">
        <v>545</v>
      </c>
      <c r="B23" s="7" t="s">
        <v>156</v>
      </c>
      <c r="C23" s="22">
        <v>40</v>
      </c>
      <c r="D23" s="22">
        <v>39</v>
      </c>
      <c r="E23" s="22">
        <v>0</v>
      </c>
      <c r="F23" s="22">
        <v>500</v>
      </c>
      <c r="G23" s="22">
        <v>0</v>
      </c>
      <c r="H23" s="21">
        <v>0</v>
      </c>
      <c r="I23" s="22"/>
      <c r="J23" s="21">
        <v>0</v>
      </c>
      <c r="K23" s="21">
        <v>0</v>
      </c>
      <c r="L23" s="22">
        <f>SUM(J23+K23)</f>
        <v>0</v>
      </c>
    </row>
    <row r="24" spans="1:12" x14ac:dyDescent="0.25">
      <c r="A24" t="s">
        <v>546</v>
      </c>
      <c r="B24" s="7" t="s">
        <v>547</v>
      </c>
      <c r="C24" s="22">
        <v>0</v>
      </c>
      <c r="D24" s="22">
        <v>41679</v>
      </c>
      <c r="E24" s="22">
        <v>31084</v>
      </c>
      <c r="F24" s="22">
        <v>85000</v>
      </c>
      <c r="G24" s="22">
        <v>62679.41</v>
      </c>
      <c r="H24" s="21">
        <v>85000</v>
      </c>
      <c r="I24" s="22"/>
      <c r="J24" s="21">
        <v>80000</v>
      </c>
      <c r="K24" s="21">
        <v>15000</v>
      </c>
      <c r="L24" s="22">
        <f t="shared" ref="L24:L37" si="1">SUM(J24+K24)</f>
        <v>95000</v>
      </c>
    </row>
    <row r="25" spans="1:12" x14ac:dyDescent="0.25">
      <c r="B25" s="7" t="s">
        <v>3544</v>
      </c>
      <c r="C25" s="22"/>
      <c r="D25" s="22"/>
      <c r="E25" s="22"/>
      <c r="F25" s="22"/>
      <c r="G25" s="22"/>
      <c r="H25" s="21"/>
      <c r="I25" s="22">
        <v>10000</v>
      </c>
      <c r="J25" s="21"/>
      <c r="K25" s="21"/>
      <c r="L25" s="22"/>
    </row>
    <row r="26" spans="1:12" x14ac:dyDescent="0.25">
      <c r="B26" s="7" t="s">
        <v>3545</v>
      </c>
      <c r="C26" s="22"/>
      <c r="D26" s="22"/>
      <c r="E26" s="22"/>
      <c r="F26" s="22"/>
      <c r="G26" s="22"/>
      <c r="H26" s="21"/>
      <c r="I26" s="22">
        <v>40000</v>
      </c>
      <c r="J26" s="21"/>
      <c r="K26" s="21"/>
      <c r="L26" s="22"/>
    </row>
    <row r="27" spans="1:12" x14ac:dyDescent="0.25">
      <c r="B27" s="7" t="s">
        <v>3546</v>
      </c>
      <c r="C27" s="22"/>
      <c r="D27" s="22"/>
      <c r="E27" s="22"/>
      <c r="F27" s="22"/>
      <c r="G27" s="22"/>
      <c r="H27" s="21"/>
      <c r="I27" s="22">
        <v>30000</v>
      </c>
      <c r="J27" s="21"/>
      <c r="K27" s="21"/>
      <c r="L27" s="22"/>
    </row>
    <row r="28" spans="1:12" x14ac:dyDescent="0.25">
      <c r="B28" s="7" t="s">
        <v>3547</v>
      </c>
      <c r="C28" s="22"/>
      <c r="D28" s="22"/>
      <c r="E28" s="22"/>
      <c r="F28" s="22"/>
      <c r="G28" s="22"/>
      <c r="H28" s="21"/>
      <c r="I28" s="22">
        <v>5000</v>
      </c>
      <c r="J28" s="21"/>
      <c r="K28" s="21"/>
      <c r="L28" s="22"/>
    </row>
    <row r="29" spans="1:12" x14ac:dyDescent="0.25">
      <c r="B29" s="7" t="s">
        <v>3548</v>
      </c>
      <c r="C29" s="22"/>
      <c r="D29" s="22"/>
      <c r="E29" s="22"/>
      <c r="F29" s="22"/>
      <c r="G29" s="22"/>
      <c r="H29" s="21"/>
      <c r="I29" s="22">
        <v>5000</v>
      </c>
      <c r="J29" s="21"/>
      <c r="K29" s="21"/>
      <c r="L29" s="22"/>
    </row>
    <row r="30" spans="1:12" x14ac:dyDescent="0.25">
      <c r="B30" s="7" t="s">
        <v>3549</v>
      </c>
      <c r="C30" s="22"/>
      <c r="D30" s="22"/>
      <c r="E30" s="22"/>
      <c r="F30" s="22"/>
      <c r="G30" s="22"/>
      <c r="H30" s="21"/>
      <c r="I30" s="22">
        <v>2000</v>
      </c>
      <c r="J30" s="21"/>
      <c r="K30" s="21"/>
      <c r="L30" s="22"/>
    </row>
    <row r="31" spans="1:12" x14ac:dyDescent="0.25">
      <c r="B31" s="7" t="s">
        <v>3550</v>
      </c>
      <c r="C31" s="22"/>
      <c r="D31" s="22"/>
      <c r="E31" s="22"/>
      <c r="F31" s="22"/>
      <c r="G31" s="22"/>
      <c r="H31" s="21"/>
      <c r="I31" s="22">
        <v>1500</v>
      </c>
      <c r="J31" s="21"/>
      <c r="K31" s="21"/>
      <c r="L31" s="22"/>
    </row>
    <row r="32" spans="1:12" x14ac:dyDescent="0.25">
      <c r="B32" s="7" t="s">
        <v>3551</v>
      </c>
      <c r="C32" s="22"/>
      <c r="D32" s="22"/>
      <c r="E32" s="22"/>
      <c r="F32" s="22"/>
      <c r="G32" s="22"/>
      <c r="H32" s="21"/>
      <c r="I32" s="22">
        <v>1500</v>
      </c>
      <c r="J32" s="21"/>
      <c r="K32" s="21"/>
      <c r="L32" s="22"/>
    </row>
    <row r="33" spans="1:12" x14ac:dyDescent="0.25">
      <c r="A33" t="s">
        <v>548</v>
      </c>
      <c r="B33" s="7" t="s">
        <v>549</v>
      </c>
      <c r="C33" s="22">
        <v>0</v>
      </c>
      <c r="D33" s="22">
        <v>0</v>
      </c>
      <c r="E33" s="22">
        <v>0</v>
      </c>
      <c r="F33" s="22">
        <v>100000</v>
      </c>
      <c r="G33" s="22">
        <v>0</v>
      </c>
      <c r="H33" s="21">
        <v>0</v>
      </c>
      <c r="I33" s="22"/>
      <c r="J33" s="21">
        <v>0</v>
      </c>
      <c r="K33" s="21">
        <v>0</v>
      </c>
      <c r="L33" s="22">
        <f t="shared" si="1"/>
        <v>0</v>
      </c>
    </row>
    <row r="34" spans="1:12" x14ac:dyDescent="0.25">
      <c r="A34" t="s">
        <v>550</v>
      </c>
      <c r="B34" s="7" t="s">
        <v>475</v>
      </c>
      <c r="C34" s="22">
        <v>17977</v>
      </c>
      <c r="D34" s="22">
        <v>1076</v>
      </c>
      <c r="E34" s="22">
        <v>0</v>
      </c>
      <c r="F34" s="22">
        <v>2000</v>
      </c>
      <c r="G34" s="22">
        <v>818.37</v>
      </c>
      <c r="H34" s="21">
        <v>1500</v>
      </c>
      <c r="I34" s="22"/>
      <c r="J34" s="21">
        <v>1000</v>
      </c>
      <c r="K34" s="21">
        <v>0</v>
      </c>
      <c r="L34" s="22">
        <f t="shared" si="1"/>
        <v>1000</v>
      </c>
    </row>
    <row r="35" spans="1:12" x14ac:dyDescent="0.25">
      <c r="A35" t="s">
        <v>551</v>
      </c>
      <c r="B35" s="7" t="s">
        <v>552</v>
      </c>
      <c r="C35" s="22">
        <v>15000</v>
      </c>
      <c r="D35" s="22">
        <v>23500</v>
      </c>
      <c r="E35" s="22">
        <v>33100</v>
      </c>
      <c r="F35" s="22">
        <v>47500</v>
      </c>
      <c r="G35" s="22">
        <v>0</v>
      </c>
      <c r="H35" s="21">
        <v>0</v>
      </c>
      <c r="I35" s="22"/>
      <c r="J35" s="21">
        <v>12250</v>
      </c>
      <c r="K35" s="21">
        <v>25350</v>
      </c>
      <c r="L35" s="22">
        <f t="shared" si="1"/>
        <v>37600</v>
      </c>
    </row>
    <row r="36" spans="1:12" x14ac:dyDescent="0.25">
      <c r="A36" t="s">
        <v>553</v>
      </c>
      <c r="B36" s="7" t="s">
        <v>554</v>
      </c>
      <c r="C36" s="22">
        <v>0</v>
      </c>
      <c r="D36" s="22">
        <v>190</v>
      </c>
      <c r="E36" s="22">
        <v>2164</v>
      </c>
      <c r="F36" s="22">
        <v>5000</v>
      </c>
      <c r="G36" s="22">
        <v>741.99</v>
      </c>
      <c r="H36" s="21">
        <v>1000</v>
      </c>
      <c r="I36" s="22"/>
      <c r="J36" s="21">
        <v>5000</v>
      </c>
      <c r="K36" s="21">
        <v>0</v>
      </c>
      <c r="L36" s="22">
        <f t="shared" si="1"/>
        <v>5000</v>
      </c>
    </row>
    <row r="37" spans="1:12" x14ac:dyDescent="0.25">
      <c r="A37" t="s">
        <v>555</v>
      </c>
      <c r="B37" s="7" t="s">
        <v>556</v>
      </c>
      <c r="C37" s="22">
        <v>36710</v>
      </c>
      <c r="D37" s="22">
        <v>40309</v>
      </c>
      <c r="E37" s="22">
        <v>36903</v>
      </c>
      <c r="F37" s="22">
        <v>40000</v>
      </c>
      <c r="G37" s="22">
        <v>50485.54</v>
      </c>
      <c r="H37" s="21">
        <v>50486</v>
      </c>
      <c r="I37" s="22"/>
      <c r="J37" s="21">
        <v>40000</v>
      </c>
      <c r="K37" s="21">
        <v>0</v>
      </c>
      <c r="L37" s="22">
        <f t="shared" si="1"/>
        <v>40000</v>
      </c>
    </row>
    <row r="38" spans="1:12" x14ac:dyDescent="0.25"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25"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x14ac:dyDescent="0.25">
      <c r="A40" t="s">
        <v>109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25">
      <c r="B41" s="7" t="s">
        <v>478</v>
      </c>
      <c r="C41" s="22">
        <f t="shared" ref="C41:H41" si="2">SUM(C23:C37)</f>
        <v>69727</v>
      </c>
      <c r="D41" s="22">
        <f t="shared" si="2"/>
        <v>106793</v>
      </c>
      <c r="E41" s="22">
        <f t="shared" si="2"/>
        <v>103251</v>
      </c>
      <c r="F41" s="22">
        <f t="shared" si="2"/>
        <v>280000</v>
      </c>
      <c r="G41" s="22">
        <f t="shared" si="2"/>
        <v>114725.31</v>
      </c>
      <c r="H41" s="22">
        <f t="shared" si="2"/>
        <v>137986</v>
      </c>
      <c r="I41" s="22"/>
      <c r="J41" s="22">
        <f>SUM(J23:J37)</f>
        <v>138250</v>
      </c>
      <c r="K41" s="22">
        <f>SUM(K23:K37)</f>
        <v>40350</v>
      </c>
      <c r="L41" s="22">
        <f>SUM(L23:L37)</f>
        <v>178600</v>
      </c>
    </row>
    <row r="42" spans="1:12" x14ac:dyDescent="0.25"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x14ac:dyDescent="0.25">
      <c r="A43" t="s">
        <v>489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25">
      <c r="A44" t="s">
        <v>18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x14ac:dyDescent="0.25">
      <c r="A45" t="s">
        <v>557</v>
      </c>
      <c r="B45" s="7" t="s">
        <v>558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1">
        <v>0</v>
      </c>
      <c r="I45" s="22"/>
      <c r="J45" s="21">
        <v>0</v>
      </c>
      <c r="K45" s="21">
        <v>0</v>
      </c>
      <c r="L45" s="22">
        <f t="shared" ref="L45" si="3">SUM(J45+K45)</f>
        <v>0</v>
      </c>
    </row>
    <row r="46" spans="1:12" hidden="1" x14ac:dyDescent="0.25">
      <c r="A46" t="s">
        <v>559</v>
      </c>
      <c r="B46" s="7" t="s">
        <v>498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1">
        <v>0</v>
      </c>
      <c r="I46" s="22"/>
      <c r="J46" s="21">
        <v>0</v>
      </c>
      <c r="K46" s="21">
        <v>0</v>
      </c>
      <c r="L46" s="22">
        <f t="shared" ref="L46:L47" si="4">SUM(J46+K46)</f>
        <v>0</v>
      </c>
    </row>
    <row r="47" spans="1:12" hidden="1" x14ac:dyDescent="0.25">
      <c r="A47" t="s">
        <v>560</v>
      </c>
      <c r="B47" s="7" t="s">
        <v>500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1">
        <v>0</v>
      </c>
      <c r="I47" s="22"/>
      <c r="J47" s="21">
        <v>0</v>
      </c>
      <c r="K47" s="21">
        <v>0</v>
      </c>
      <c r="L47" s="22">
        <f t="shared" si="4"/>
        <v>0</v>
      </c>
    </row>
    <row r="48" spans="1:12" x14ac:dyDescent="0.25"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x14ac:dyDescent="0.25"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x14ac:dyDescent="0.25">
      <c r="A50" t="s">
        <v>109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25">
      <c r="B51" s="7" t="s">
        <v>489</v>
      </c>
      <c r="C51" s="22">
        <f t="shared" ref="C51:H51" si="5">SUM(C45:C47)</f>
        <v>0</v>
      </c>
      <c r="D51" s="22">
        <f t="shared" si="5"/>
        <v>0</v>
      </c>
      <c r="E51" s="22">
        <f t="shared" si="5"/>
        <v>0</v>
      </c>
      <c r="F51" s="22">
        <f t="shared" si="5"/>
        <v>0</v>
      </c>
      <c r="G51" s="22">
        <f t="shared" si="5"/>
        <v>0</v>
      </c>
      <c r="H51" s="22">
        <f t="shared" si="5"/>
        <v>0</v>
      </c>
      <c r="I51" s="22"/>
      <c r="J51" s="22">
        <f>SUM(J45:J47)</f>
        <v>0</v>
      </c>
      <c r="K51" s="22">
        <f>SUM(K45:K47)</f>
        <v>0</v>
      </c>
      <c r="L51" s="22">
        <f>SUM(L45:L47)</f>
        <v>0</v>
      </c>
    </row>
    <row r="52" spans="1:12" x14ac:dyDescent="0.25"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25">
      <c r="A53" t="s">
        <v>501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x14ac:dyDescent="0.25">
      <c r="A54" t="s">
        <v>18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 x14ac:dyDescent="0.25">
      <c r="A55" t="s">
        <v>561</v>
      </c>
      <c r="B55" s="7" t="s">
        <v>503</v>
      </c>
      <c r="C55" s="22">
        <v>37100</v>
      </c>
      <c r="D55" s="22">
        <v>121919</v>
      </c>
      <c r="E55" s="22">
        <v>26146</v>
      </c>
      <c r="F55" s="22">
        <v>276800</v>
      </c>
      <c r="G55" s="22">
        <v>186421</v>
      </c>
      <c r="H55" s="23">
        <v>200000</v>
      </c>
      <c r="I55" s="22"/>
      <c r="J55" s="23">
        <v>0</v>
      </c>
      <c r="K55" s="21">
        <v>0</v>
      </c>
      <c r="L55" s="22">
        <f t="shared" ref="L55:L56" si="6">SUM(J55+K55)</f>
        <v>0</v>
      </c>
    </row>
    <row r="56" spans="1:12" x14ac:dyDescent="0.25">
      <c r="A56" t="s">
        <v>562</v>
      </c>
      <c r="B56" s="7" t="s">
        <v>509</v>
      </c>
      <c r="C56" s="22">
        <v>0</v>
      </c>
      <c r="D56" s="22">
        <v>2898</v>
      </c>
      <c r="E56" s="22">
        <v>237960</v>
      </c>
      <c r="F56" s="22">
        <v>328996</v>
      </c>
      <c r="G56" s="22">
        <v>0</v>
      </c>
      <c r="H56" s="23">
        <v>0</v>
      </c>
      <c r="I56" s="22"/>
      <c r="J56" s="23">
        <v>0</v>
      </c>
      <c r="K56" s="21">
        <v>0</v>
      </c>
      <c r="L56" s="22">
        <f t="shared" si="6"/>
        <v>0</v>
      </c>
    </row>
    <row r="57" spans="1:12" x14ac:dyDescent="0.25"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x14ac:dyDescent="0.25"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x14ac:dyDescent="0.25">
      <c r="A59" t="s">
        <v>109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x14ac:dyDescent="0.25">
      <c r="B60" s="7" t="s">
        <v>501</v>
      </c>
      <c r="C60" s="22">
        <f t="shared" ref="C60:H60" si="7">SUM(C55:C56)</f>
        <v>37100</v>
      </c>
      <c r="D60" s="22">
        <f t="shared" si="7"/>
        <v>124817</v>
      </c>
      <c r="E60" s="22">
        <f t="shared" si="7"/>
        <v>264106</v>
      </c>
      <c r="F60" s="22">
        <f t="shared" si="7"/>
        <v>605796</v>
      </c>
      <c r="G60" s="22">
        <f t="shared" si="7"/>
        <v>186421</v>
      </c>
      <c r="H60" s="22">
        <f t="shared" si="7"/>
        <v>200000</v>
      </c>
      <c r="I60" s="22"/>
      <c r="J60" s="22">
        <f>SUM(J55:J56)</f>
        <v>0</v>
      </c>
      <c r="K60" s="22">
        <f>SUM(K55:K56)</f>
        <v>0</v>
      </c>
      <c r="L60" s="22">
        <f>SUM(L55:L56)</f>
        <v>0</v>
      </c>
    </row>
    <row r="61" spans="1:12" x14ac:dyDescent="0.25"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 x14ac:dyDescent="0.25">
      <c r="A62" t="s">
        <v>530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x14ac:dyDescent="0.25">
      <c r="A63" t="s">
        <v>18</v>
      </c>
      <c r="B63" s="7" t="s">
        <v>526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x14ac:dyDescent="0.25">
      <c r="A64" t="s">
        <v>563</v>
      </c>
      <c r="B64" s="7" t="s">
        <v>564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1">
        <v>0</v>
      </c>
      <c r="I64" s="22"/>
      <c r="J64" s="21">
        <v>0</v>
      </c>
      <c r="K64" s="21">
        <v>0</v>
      </c>
      <c r="L64" s="22">
        <f t="shared" ref="L64:L65" si="8">SUM(J64+K64)</f>
        <v>0</v>
      </c>
    </row>
    <row r="65" spans="1:12" x14ac:dyDescent="0.25">
      <c r="A65" t="s">
        <v>565</v>
      </c>
      <c r="B65" s="7" t="s">
        <v>566</v>
      </c>
      <c r="C65" s="22">
        <v>40425</v>
      </c>
      <c r="D65" s="22">
        <v>0</v>
      </c>
      <c r="E65" s="22">
        <v>0</v>
      </c>
      <c r="F65" s="22">
        <v>0</v>
      </c>
      <c r="G65" s="22">
        <v>0</v>
      </c>
      <c r="H65" s="21">
        <v>0</v>
      </c>
      <c r="I65" s="22"/>
      <c r="J65" s="21">
        <v>0</v>
      </c>
      <c r="K65" s="21">
        <v>0</v>
      </c>
      <c r="L65" s="22">
        <f t="shared" si="8"/>
        <v>0</v>
      </c>
    </row>
    <row r="66" spans="1:12" x14ac:dyDescent="0.25"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x14ac:dyDescent="0.25">
      <c r="A68" t="s">
        <v>109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x14ac:dyDescent="0.25">
      <c r="B69" s="7" t="s">
        <v>530</v>
      </c>
      <c r="C69" s="22">
        <f t="shared" ref="C69:H69" si="9">SUM(C64:C65)</f>
        <v>40425</v>
      </c>
      <c r="D69" s="22">
        <f t="shared" si="9"/>
        <v>0</v>
      </c>
      <c r="E69" s="22">
        <f t="shared" si="9"/>
        <v>0</v>
      </c>
      <c r="F69" s="22">
        <f t="shared" si="9"/>
        <v>0</v>
      </c>
      <c r="G69" s="22">
        <f t="shared" si="9"/>
        <v>0</v>
      </c>
      <c r="H69" s="22">
        <f t="shared" si="9"/>
        <v>0</v>
      </c>
      <c r="I69" s="22"/>
      <c r="J69" s="22">
        <f>SUM(J64:J65)</f>
        <v>0</v>
      </c>
      <c r="K69" s="22">
        <f>SUM(K64:K65)</f>
        <v>0</v>
      </c>
      <c r="L69" s="22">
        <f>SUM(L64:L65)</f>
        <v>0</v>
      </c>
    </row>
    <row r="70" spans="1:12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 x14ac:dyDescent="0.25">
      <c r="A73">
        <v>11</v>
      </c>
      <c r="B73" s="7" t="s">
        <v>3552</v>
      </c>
      <c r="C73" s="22">
        <f t="shared" ref="C73:H73" si="10">C19+C41+C51+C60+C69</f>
        <v>148851</v>
      </c>
      <c r="D73" s="22">
        <f t="shared" si="10"/>
        <v>231610</v>
      </c>
      <c r="E73" s="22">
        <f t="shared" si="10"/>
        <v>367357</v>
      </c>
      <c r="F73" s="22">
        <f t="shared" si="10"/>
        <v>885796</v>
      </c>
      <c r="G73" s="22">
        <f t="shared" si="10"/>
        <v>301146.31</v>
      </c>
      <c r="H73" s="22">
        <f t="shared" si="10"/>
        <v>337986</v>
      </c>
      <c r="I73" s="22"/>
      <c r="J73" s="22">
        <f>J19+J41+J51+J60+J69</f>
        <v>138250</v>
      </c>
      <c r="K73" s="22">
        <f>K19+K41+K51+K60+K69</f>
        <v>40350</v>
      </c>
      <c r="L73" s="22">
        <f>L19+L41+L51+L60+L69</f>
        <v>178600</v>
      </c>
    </row>
  </sheetData>
  <sheetProtection algorithmName="SHA-512" hashValue="yIMq2N0rEgiXWQG3Vv31zPBGkKv649q1KAuX7JmsVPTdJfiPEjr06P0bJOa93bEwr3Dh/TFE5BqTw/G48oDdBA==" saltValue="bXgIT/A8OL4jzucQg7CFjA==" spinCount="100000" sheet="1" objects="1" scenarios="1" insertRows="0"/>
  <pageMargins left="0.25" right="0.25" top="0.75" bottom="0.75" header="0.3" footer="0.3"/>
  <pageSetup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F963B-AEC4-415C-8A5E-DD513FA477BA}">
  <sheetPr>
    <pageSetUpPr fitToPage="1"/>
  </sheetPr>
  <dimension ref="A1:L116"/>
  <sheetViews>
    <sheetView zoomScaleNormal="100" workbookViewId="0">
      <pane ySplit="7" topLeftCell="A8" activePane="bottomLeft" state="frozen"/>
      <selection pane="bottomLeft" activeCell="J19" sqref="J19"/>
    </sheetView>
  </sheetViews>
  <sheetFormatPr defaultRowHeight="15" x14ac:dyDescent="0.25"/>
  <cols>
    <col min="2" max="2" width="32.7109375" style="7" bestFit="1" customWidth="1"/>
    <col min="3" max="3" width="13.28515625" bestFit="1" customWidth="1"/>
    <col min="4" max="4" width="15" bestFit="1" customWidth="1"/>
    <col min="5" max="6" width="14.28515625" bestFit="1" customWidth="1"/>
    <col min="7" max="7" width="12.85546875" bestFit="1" customWidth="1"/>
    <col min="8" max="8" width="13.28515625" style="7" bestFit="1" customWidth="1"/>
    <col min="9" max="9" width="11.5703125" style="7" bestFit="1" customWidth="1"/>
    <col min="10" max="10" width="13.28515625" style="7" bestFit="1" customWidth="1"/>
    <col min="11" max="11" width="14.7109375" style="7" bestFit="1" customWidth="1"/>
    <col min="12" max="12" width="14.140625" bestFit="1" customWidth="1"/>
  </cols>
  <sheetData>
    <row r="1" spans="1:12" x14ac:dyDescent="0.25">
      <c r="A1" t="s">
        <v>0</v>
      </c>
    </row>
    <row r="2" spans="1:12" x14ac:dyDescent="0.25">
      <c r="A2" t="s">
        <v>386</v>
      </c>
    </row>
    <row r="3" spans="1:12" x14ac:dyDescent="0.25">
      <c r="F3" s="5" t="s">
        <v>2</v>
      </c>
      <c r="G3" s="3" t="s">
        <v>3410</v>
      </c>
      <c r="H3" s="7" t="s">
        <v>4</v>
      </c>
      <c r="J3" s="8" t="s">
        <v>3411</v>
      </c>
      <c r="K3" s="9" t="s">
        <v>3412</v>
      </c>
      <c r="L3" s="6" t="s">
        <v>3413</v>
      </c>
    </row>
    <row r="4" spans="1:12" x14ac:dyDescent="0.25"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9" t="s">
        <v>12</v>
      </c>
      <c r="I4" s="9"/>
      <c r="J4" s="9" t="s">
        <v>3414</v>
      </c>
      <c r="K4" s="9" t="s">
        <v>3415</v>
      </c>
      <c r="L4" s="3" t="s">
        <v>3416</v>
      </c>
    </row>
    <row r="5" spans="1:12" x14ac:dyDescent="0.25">
      <c r="C5" s="3" t="s">
        <v>15</v>
      </c>
      <c r="D5" s="3" t="s">
        <v>15</v>
      </c>
      <c r="E5" s="3" t="s">
        <v>15</v>
      </c>
      <c r="F5" s="3" t="s">
        <v>16</v>
      </c>
      <c r="G5" s="4">
        <v>45889</v>
      </c>
      <c r="H5" s="9" t="s">
        <v>17</v>
      </c>
      <c r="I5" s="9"/>
      <c r="J5" s="9" t="s">
        <v>13</v>
      </c>
      <c r="K5" s="9" t="s">
        <v>3417</v>
      </c>
      <c r="L5" s="3" t="s">
        <v>13</v>
      </c>
    </row>
    <row r="6" spans="1:12" x14ac:dyDescent="0.25">
      <c r="A6" t="s">
        <v>18</v>
      </c>
      <c r="B6" s="7" t="s">
        <v>19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 s="7" t="s">
        <v>20</v>
      </c>
      <c r="J6" s="7" t="s">
        <v>24</v>
      </c>
      <c r="K6" s="7" t="s">
        <v>20</v>
      </c>
      <c r="L6" t="s">
        <v>20</v>
      </c>
    </row>
    <row r="8" spans="1:12" x14ac:dyDescent="0.25">
      <c r="A8" t="s">
        <v>225</v>
      </c>
    </row>
    <row r="11" spans="1:12" x14ac:dyDescent="0.25">
      <c r="A11" t="s">
        <v>441</v>
      </c>
    </row>
    <row r="12" spans="1:12" x14ac:dyDescent="0.25">
      <c r="A12" t="s">
        <v>18</v>
      </c>
      <c r="B12" s="7" t="s">
        <v>228</v>
      </c>
    </row>
    <row r="13" spans="1:12" x14ac:dyDescent="0.25">
      <c r="A13" t="s">
        <v>568</v>
      </c>
      <c r="B13" s="7" t="s">
        <v>569</v>
      </c>
      <c r="C13" s="22">
        <v>6698</v>
      </c>
      <c r="D13" s="22">
        <v>2142</v>
      </c>
      <c r="E13" s="22">
        <v>0</v>
      </c>
      <c r="F13" s="22">
        <v>0</v>
      </c>
      <c r="G13" s="22">
        <v>0</v>
      </c>
      <c r="H13" s="21">
        <v>0</v>
      </c>
      <c r="I13" s="21"/>
      <c r="J13" s="21">
        <v>0</v>
      </c>
      <c r="K13" s="21">
        <v>0</v>
      </c>
      <c r="L13" s="22">
        <f>SUM(J13+K13)</f>
        <v>0</v>
      </c>
    </row>
    <row r="14" spans="1:12" x14ac:dyDescent="0.25">
      <c r="A14" t="s">
        <v>570</v>
      </c>
      <c r="B14" s="7" t="s">
        <v>396</v>
      </c>
      <c r="C14" s="22">
        <v>324</v>
      </c>
      <c r="D14" s="22">
        <v>72</v>
      </c>
      <c r="E14" s="22">
        <v>689</v>
      </c>
      <c r="F14" s="22">
        <v>2016</v>
      </c>
      <c r="G14" s="22">
        <v>358.26</v>
      </c>
      <c r="H14" s="21">
        <v>426.78</v>
      </c>
      <c r="I14" s="21"/>
      <c r="J14" s="21">
        <v>504</v>
      </c>
      <c r="K14" s="21">
        <v>0</v>
      </c>
      <c r="L14" s="22">
        <f t="shared" ref="L14:L40" si="0">SUM(J14+K14)</f>
        <v>504</v>
      </c>
    </row>
    <row r="15" spans="1:12" x14ac:dyDescent="0.25">
      <c r="A15" t="s">
        <v>571</v>
      </c>
      <c r="B15" s="7" t="s">
        <v>398</v>
      </c>
      <c r="C15" s="22">
        <v>34444</v>
      </c>
      <c r="D15" s="22">
        <v>39329</v>
      </c>
      <c r="E15" s="22">
        <v>29829</v>
      </c>
      <c r="F15" s="22">
        <v>44087</v>
      </c>
      <c r="G15" s="22">
        <v>18583.07</v>
      </c>
      <c r="H15" s="21">
        <v>23250</v>
      </c>
      <c r="I15" s="21"/>
      <c r="J15" s="21">
        <v>32667.03</v>
      </c>
      <c r="K15" s="21">
        <v>0</v>
      </c>
      <c r="L15" s="22">
        <f t="shared" si="0"/>
        <v>32667.03</v>
      </c>
    </row>
    <row r="16" spans="1:12" x14ac:dyDescent="0.25">
      <c r="A16" t="s">
        <v>572</v>
      </c>
      <c r="B16" s="7" t="s">
        <v>400</v>
      </c>
      <c r="C16" s="22">
        <v>37039</v>
      </c>
      <c r="D16" s="22">
        <v>42730</v>
      </c>
      <c r="E16" s="22">
        <v>34558</v>
      </c>
      <c r="F16" s="22">
        <v>54690</v>
      </c>
      <c r="G16" s="22">
        <v>19213.37</v>
      </c>
      <c r="H16" s="21">
        <v>26050</v>
      </c>
      <c r="I16" s="21"/>
      <c r="J16" s="21">
        <f>9512.15+29247.4</f>
        <v>38759.550000000003</v>
      </c>
      <c r="K16" s="21">
        <v>0</v>
      </c>
      <c r="L16" s="22">
        <f t="shared" si="0"/>
        <v>38759.550000000003</v>
      </c>
    </row>
    <row r="17" spans="1:12" x14ac:dyDescent="0.25">
      <c r="A17" t="s">
        <v>573</v>
      </c>
      <c r="B17" s="7" t="s">
        <v>574</v>
      </c>
      <c r="C17" s="22">
        <v>81759</v>
      </c>
      <c r="D17" s="22">
        <v>86144</v>
      </c>
      <c r="E17" s="22">
        <v>60518</v>
      </c>
      <c r="F17" s="22">
        <v>128233</v>
      </c>
      <c r="G17" s="22">
        <v>34267.269999999997</v>
      </c>
      <c r="H17" s="21">
        <v>42750</v>
      </c>
      <c r="I17" s="21"/>
      <c r="J17" s="21">
        <v>66574.080000000002</v>
      </c>
      <c r="K17" s="21">
        <v>0</v>
      </c>
      <c r="L17" s="22">
        <f t="shared" si="0"/>
        <v>66574.080000000002</v>
      </c>
    </row>
    <row r="18" spans="1:12" x14ac:dyDescent="0.25">
      <c r="A18" t="s">
        <v>575</v>
      </c>
      <c r="B18" s="7" t="s">
        <v>404</v>
      </c>
      <c r="C18" s="22">
        <v>5087</v>
      </c>
      <c r="D18" s="22">
        <v>5411</v>
      </c>
      <c r="E18" s="22">
        <v>3764</v>
      </c>
      <c r="F18" s="22">
        <v>5232</v>
      </c>
      <c r="G18" s="22">
        <v>2141.96</v>
      </c>
      <c r="H18" s="21">
        <v>2800</v>
      </c>
      <c r="I18" s="21"/>
      <c r="J18" s="21">
        <v>4320</v>
      </c>
      <c r="K18" s="21">
        <v>0</v>
      </c>
      <c r="L18" s="22">
        <f t="shared" si="0"/>
        <v>4320</v>
      </c>
    </row>
    <row r="19" spans="1:12" x14ac:dyDescent="0.25">
      <c r="A19" t="s">
        <v>576</v>
      </c>
      <c r="B19" s="7" t="s">
        <v>406</v>
      </c>
      <c r="C19" s="22">
        <v>1162</v>
      </c>
      <c r="D19" s="22">
        <v>8982</v>
      </c>
      <c r="E19" s="22">
        <v>1935</v>
      </c>
      <c r="F19" s="22">
        <v>2128</v>
      </c>
      <c r="G19" s="22">
        <v>2321.54</v>
      </c>
      <c r="H19" s="21">
        <v>2321.54</v>
      </c>
      <c r="I19" s="21"/>
      <c r="J19" s="21">
        <f>G19*10%+G19</f>
        <v>2553.694</v>
      </c>
      <c r="K19" s="21">
        <v>0</v>
      </c>
      <c r="L19" s="22">
        <f t="shared" si="0"/>
        <v>2553.694</v>
      </c>
    </row>
    <row r="20" spans="1:12" x14ac:dyDescent="0.25">
      <c r="A20" t="s">
        <v>577</v>
      </c>
      <c r="B20" s="7" t="s">
        <v>578</v>
      </c>
      <c r="C20" s="22">
        <v>92431</v>
      </c>
      <c r="D20" s="22">
        <v>111220</v>
      </c>
      <c r="E20" s="22">
        <v>116005</v>
      </c>
      <c r="F20" s="22">
        <v>117565</v>
      </c>
      <c r="G20" s="22">
        <v>39502.5</v>
      </c>
      <c r="H20" s="21">
        <v>39502.5</v>
      </c>
      <c r="I20" s="21"/>
      <c r="J20" s="21">
        <v>115000</v>
      </c>
      <c r="K20" s="21">
        <v>0</v>
      </c>
      <c r="L20" s="22">
        <f t="shared" si="0"/>
        <v>115000</v>
      </c>
    </row>
    <row r="21" spans="1:12" x14ac:dyDescent="0.25">
      <c r="A21" t="s">
        <v>579</v>
      </c>
      <c r="B21" s="7" t="s">
        <v>580</v>
      </c>
      <c r="C21" s="22">
        <v>49220</v>
      </c>
      <c r="D21" s="22">
        <v>52538</v>
      </c>
      <c r="E21" s="22">
        <v>56295</v>
      </c>
      <c r="F21" s="22">
        <v>61918</v>
      </c>
      <c r="G21" s="22">
        <v>54579.08</v>
      </c>
      <c r="H21" s="21">
        <v>61918</v>
      </c>
      <c r="I21" s="21"/>
      <c r="J21" s="21">
        <v>61921.599999999999</v>
      </c>
      <c r="K21" s="21">
        <v>0</v>
      </c>
      <c r="L21" s="22">
        <f t="shared" si="0"/>
        <v>61921.599999999999</v>
      </c>
    </row>
    <row r="22" spans="1:12" x14ac:dyDescent="0.25">
      <c r="A22" t="s">
        <v>581</v>
      </c>
      <c r="B22" s="7" t="s">
        <v>582</v>
      </c>
      <c r="C22" s="22">
        <v>0</v>
      </c>
      <c r="D22" s="22">
        <v>0</v>
      </c>
      <c r="E22" s="22">
        <v>19846</v>
      </c>
      <c r="F22" s="22">
        <v>90300</v>
      </c>
      <c r="G22" s="22">
        <v>18422.27</v>
      </c>
      <c r="H22" s="21">
        <v>18422</v>
      </c>
      <c r="I22" s="21"/>
      <c r="J22" s="21">
        <v>0</v>
      </c>
      <c r="K22" s="21">
        <v>0</v>
      </c>
      <c r="L22" s="22">
        <f t="shared" si="0"/>
        <v>0</v>
      </c>
    </row>
    <row r="23" spans="1:12" x14ac:dyDescent="0.25">
      <c r="A23" t="s">
        <v>583</v>
      </c>
      <c r="B23" s="7" t="s">
        <v>584</v>
      </c>
      <c r="C23" s="22">
        <v>79104</v>
      </c>
      <c r="D23" s="22">
        <v>83771</v>
      </c>
      <c r="E23" s="22">
        <v>57859</v>
      </c>
      <c r="F23" s="22">
        <v>83341</v>
      </c>
      <c r="G23" s="22">
        <v>73734.710000000006</v>
      </c>
      <c r="H23" s="21">
        <v>83341</v>
      </c>
      <c r="I23" s="21"/>
      <c r="J23" s="21">
        <v>83340.92</v>
      </c>
      <c r="K23" s="21">
        <v>0</v>
      </c>
      <c r="L23" s="22">
        <f t="shared" si="0"/>
        <v>83340.92</v>
      </c>
    </row>
    <row r="24" spans="1:12" x14ac:dyDescent="0.25">
      <c r="A24" t="s">
        <v>585</v>
      </c>
      <c r="B24" s="7" t="s">
        <v>586</v>
      </c>
      <c r="C24" s="22">
        <v>110850</v>
      </c>
      <c r="D24" s="22">
        <v>118135</v>
      </c>
      <c r="E24" s="22">
        <v>55579</v>
      </c>
      <c r="F24" s="22">
        <v>116323</v>
      </c>
      <c r="G24" s="22">
        <v>3000.94</v>
      </c>
      <c r="H24" s="21">
        <v>8900</v>
      </c>
      <c r="I24" s="21"/>
      <c r="J24" s="21">
        <v>55000</v>
      </c>
      <c r="K24" s="21">
        <v>0</v>
      </c>
      <c r="L24" s="22">
        <f t="shared" si="0"/>
        <v>55000</v>
      </c>
    </row>
    <row r="25" spans="1:12" hidden="1" x14ac:dyDescent="0.25">
      <c r="A25" t="s">
        <v>587</v>
      </c>
      <c r="B25" s="7" t="s">
        <v>588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1">
        <v>0</v>
      </c>
      <c r="I25" s="21"/>
      <c r="J25" s="21">
        <v>0</v>
      </c>
      <c r="K25" s="21">
        <v>0</v>
      </c>
      <c r="L25" s="22">
        <f t="shared" si="0"/>
        <v>0</v>
      </c>
    </row>
    <row r="26" spans="1:12" x14ac:dyDescent="0.25">
      <c r="A26" t="s">
        <v>589</v>
      </c>
      <c r="B26" s="7" t="s">
        <v>590</v>
      </c>
      <c r="C26" s="22">
        <v>27322</v>
      </c>
      <c r="D26" s="22">
        <v>49028</v>
      </c>
      <c r="E26" s="22">
        <v>49140</v>
      </c>
      <c r="F26" s="22">
        <v>51597</v>
      </c>
      <c r="G26" s="22">
        <v>27407.11</v>
      </c>
      <c r="H26" s="21">
        <v>27407.11</v>
      </c>
      <c r="I26" s="21"/>
      <c r="J26" s="21">
        <v>0</v>
      </c>
      <c r="K26" s="21">
        <v>0</v>
      </c>
      <c r="L26" s="22">
        <f t="shared" si="0"/>
        <v>0</v>
      </c>
    </row>
    <row r="27" spans="1:12" x14ac:dyDescent="0.25">
      <c r="A27" t="s">
        <v>591</v>
      </c>
      <c r="B27" s="7" t="s">
        <v>592</v>
      </c>
      <c r="C27" s="22">
        <v>45131</v>
      </c>
      <c r="D27" s="22">
        <v>49042</v>
      </c>
      <c r="E27" s="22">
        <v>2053</v>
      </c>
      <c r="F27" s="22">
        <v>0</v>
      </c>
      <c r="G27" s="22">
        <v>0</v>
      </c>
      <c r="H27" s="21">
        <v>0</v>
      </c>
      <c r="I27" s="21"/>
      <c r="J27" s="21">
        <v>0</v>
      </c>
      <c r="K27" s="21">
        <v>0</v>
      </c>
      <c r="L27" s="22">
        <f t="shared" si="0"/>
        <v>0</v>
      </c>
    </row>
    <row r="28" spans="1:12" x14ac:dyDescent="0.25">
      <c r="A28" t="s">
        <v>593</v>
      </c>
      <c r="B28" s="7" t="s">
        <v>422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1">
        <v>0</v>
      </c>
      <c r="I28" s="21"/>
      <c r="J28" s="21">
        <v>0</v>
      </c>
      <c r="K28" s="21">
        <v>0</v>
      </c>
      <c r="L28" s="22">
        <f t="shared" si="0"/>
        <v>0</v>
      </c>
    </row>
    <row r="29" spans="1:12" x14ac:dyDescent="0.25">
      <c r="A29" t="s">
        <v>594</v>
      </c>
      <c r="B29" s="7" t="s">
        <v>424</v>
      </c>
      <c r="C29" s="22">
        <v>796</v>
      </c>
      <c r="D29" s="22">
        <v>1073</v>
      </c>
      <c r="E29" s="22">
        <v>969</v>
      </c>
      <c r="F29" s="22">
        <v>855</v>
      </c>
      <c r="G29" s="22">
        <v>415.23</v>
      </c>
      <c r="H29" s="21">
        <v>415</v>
      </c>
      <c r="I29" s="21"/>
      <c r="J29" s="21">
        <v>622.84</v>
      </c>
      <c r="K29" s="21">
        <v>0</v>
      </c>
      <c r="L29" s="22">
        <f t="shared" si="0"/>
        <v>622.84</v>
      </c>
    </row>
    <row r="30" spans="1:12" x14ac:dyDescent="0.25">
      <c r="A30" t="s">
        <v>596</v>
      </c>
      <c r="B30" s="7" t="s">
        <v>426</v>
      </c>
      <c r="C30" s="22">
        <v>2429</v>
      </c>
      <c r="D30" s="22">
        <v>3239</v>
      </c>
      <c r="E30" s="22">
        <v>2429</v>
      </c>
      <c r="F30" s="22">
        <v>2834</v>
      </c>
      <c r="G30" s="22">
        <v>1245.6600000000001</v>
      </c>
      <c r="H30" s="21">
        <v>1246</v>
      </c>
      <c r="I30" s="21"/>
      <c r="J30" s="21">
        <v>1214.73</v>
      </c>
      <c r="K30" s="21">
        <v>0</v>
      </c>
      <c r="L30" s="22">
        <f t="shared" si="0"/>
        <v>1214.73</v>
      </c>
    </row>
    <row r="31" spans="1:12" x14ac:dyDescent="0.25">
      <c r="A31" t="s">
        <v>597</v>
      </c>
      <c r="B31" s="7" t="s">
        <v>598</v>
      </c>
      <c r="C31" s="22">
        <v>720</v>
      </c>
      <c r="D31" s="22">
        <v>720</v>
      </c>
      <c r="E31" s="22">
        <v>0</v>
      </c>
      <c r="F31" s="22">
        <v>360</v>
      </c>
      <c r="G31" s="22">
        <v>0</v>
      </c>
      <c r="H31" s="21">
        <v>0</v>
      </c>
      <c r="I31" s="21"/>
      <c r="J31" s="21">
        <v>359.9</v>
      </c>
      <c r="K31" s="21">
        <v>0</v>
      </c>
      <c r="L31" s="22">
        <f t="shared" si="0"/>
        <v>359.9</v>
      </c>
    </row>
    <row r="32" spans="1:12" x14ac:dyDescent="0.25">
      <c r="A32" t="s">
        <v>599</v>
      </c>
      <c r="B32" s="7" t="s">
        <v>428</v>
      </c>
      <c r="C32" s="22">
        <v>2400</v>
      </c>
      <c r="D32" s="22">
        <v>2215</v>
      </c>
      <c r="E32" s="22">
        <v>1154</v>
      </c>
      <c r="F32" s="22">
        <v>1200</v>
      </c>
      <c r="G32" s="22">
        <v>738.56</v>
      </c>
      <c r="H32" s="21">
        <v>900</v>
      </c>
      <c r="I32" s="21"/>
      <c r="J32" s="21">
        <v>1800</v>
      </c>
      <c r="K32" s="21">
        <v>0</v>
      </c>
      <c r="L32" s="22">
        <f t="shared" si="0"/>
        <v>1800</v>
      </c>
    </row>
    <row r="33" spans="1:12" x14ac:dyDescent="0.25">
      <c r="A33" t="s">
        <v>600</v>
      </c>
      <c r="B33" s="7" t="s">
        <v>430</v>
      </c>
      <c r="C33" s="22">
        <v>242</v>
      </c>
      <c r="D33" s="22">
        <v>277</v>
      </c>
      <c r="E33" s="22">
        <v>242</v>
      </c>
      <c r="F33" s="22">
        <v>277</v>
      </c>
      <c r="G33" s="22">
        <v>103.8</v>
      </c>
      <c r="H33" s="21">
        <v>104</v>
      </c>
      <c r="I33" s="21"/>
      <c r="J33" s="21">
        <v>0</v>
      </c>
      <c r="K33" s="21">
        <v>0</v>
      </c>
      <c r="L33" s="22">
        <f t="shared" si="0"/>
        <v>0</v>
      </c>
    </row>
    <row r="34" spans="1:12" x14ac:dyDescent="0.25">
      <c r="A34" t="s">
        <v>601</v>
      </c>
      <c r="B34" s="7" t="s">
        <v>602</v>
      </c>
      <c r="C34" s="22">
        <v>0</v>
      </c>
      <c r="D34" s="22">
        <v>0</v>
      </c>
      <c r="E34" s="22">
        <v>0</v>
      </c>
      <c r="F34" s="22">
        <v>0</v>
      </c>
      <c r="G34" s="22">
        <v>21372.14</v>
      </c>
      <c r="H34" s="21">
        <v>28524</v>
      </c>
      <c r="I34" s="21"/>
      <c r="J34" s="21">
        <v>62000</v>
      </c>
      <c r="K34" s="21">
        <v>0</v>
      </c>
      <c r="L34" s="22">
        <f t="shared" si="0"/>
        <v>62000</v>
      </c>
    </row>
    <row r="35" spans="1:12" x14ac:dyDescent="0.25">
      <c r="A35" t="s">
        <v>603</v>
      </c>
      <c r="B35" s="7" t="s">
        <v>432</v>
      </c>
      <c r="C35" s="22">
        <v>0</v>
      </c>
      <c r="D35" s="22">
        <v>0</v>
      </c>
      <c r="E35" s="22">
        <v>0</v>
      </c>
      <c r="F35" s="22">
        <v>0</v>
      </c>
      <c r="G35" s="22">
        <v>223.38</v>
      </c>
      <c r="H35" s="21">
        <v>750</v>
      </c>
      <c r="I35" s="21"/>
      <c r="J35" s="21">
        <v>0</v>
      </c>
      <c r="K35" s="21">
        <v>0</v>
      </c>
      <c r="L35" s="22">
        <f t="shared" si="0"/>
        <v>0</v>
      </c>
    </row>
    <row r="36" spans="1:12" x14ac:dyDescent="0.25">
      <c r="A36" t="s">
        <v>604</v>
      </c>
      <c r="B36" s="7" t="s">
        <v>434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1">
        <v>0</v>
      </c>
      <c r="I36" s="21"/>
      <c r="J36" s="21">
        <v>0</v>
      </c>
      <c r="K36" s="21">
        <v>0</v>
      </c>
      <c r="L36" s="22">
        <f t="shared" si="0"/>
        <v>0</v>
      </c>
    </row>
    <row r="37" spans="1:12" x14ac:dyDescent="0.25">
      <c r="A37" t="s">
        <v>605</v>
      </c>
      <c r="B37" s="7" t="s">
        <v>436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1">
        <v>0</v>
      </c>
      <c r="I37" s="21"/>
      <c r="J37" s="21">
        <v>0</v>
      </c>
      <c r="K37" s="21">
        <v>0</v>
      </c>
      <c r="L37" s="22">
        <f t="shared" si="0"/>
        <v>0</v>
      </c>
    </row>
    <row r="38" spans="1:12" x14ac:dyDescent="0.25">
      <c r="A38" t="s">
        <v>606</v>
      </c>
      <c r="B38" s="7" t="s">
        <v>607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1">
        <v>0</v>
      </c>
      <c r="I38" s="21"/>
      <c r="J38" s="21">
        <v>0</v>
      </c>
      <c r="K38" s="21">
        <v>0</v>
      </c>
      <c r="L38" s="22">
        <f t="shared" si="0"/>
        <v>0</v>
      </c>
    </row>
    <row r="39" spans="1:12" x14ac:dyDescent="0.25">
      <c r="A39" t="s">
        <v>608</v>
      </c>
      <c r="B39" s="7" t="s">
        <v>609</v>
      </c>
      <c r="C39" s="22">
        <v>44576</v>
      </c>
      <c r="D39" s="22">
        <v>46856</v>
      </c>
      <c r="E39" s="22">
        <v>31366</v>
      </c>
      <c r="F39" s="22">
        <v>49293</v>
      </c>
      <c r="G39" s="22">
        <v>3179</v>
      </c>
      <c r="H39" s="21">
        <v>7139</v>
      </c>
      <c r="I39" s="21"/>
      <c r="J39" s="21">
        <v>45760</v>
      </c>
      <c r="K39" s="21">
        <v>0</v>
      </c>
      <c r="L39" s="22">
        <f t="shared" si="0"/>
        <v>45760</v>
      </c>
    </row>
    <row r="40" spans="1:12" x14ac:dyDescent="0.25">
      <c r="A40" t="s">
        <v>610</v>
      </c>
      <c r="B40" s="7" t="s">
        <v>611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1">
        <v>0</v>
      </c>
      <c r="I40" s="21"/>
      <c r="J40" s="21">
        <v>0</v>
      </c>
      <c r="K40" s="21">
        <v>0</v>
      </c>
      <c r="L40" s="22">
        <f t="shared" si="0"/>
        <v>0</v>
      </c>
    </row>
    <row r="41" spans="1:12" x14ac:dyDescent="0.25">
      <c r="C41" s="12"/>
      <c r="D41" s="12"/>
      <c r="E41" s="12"/>
      <c r="F41" s="12"/>
      <c r="G41" s="12"/>
      <c r="H41" s="11"/>
      <c r="I41" s="11"/>
      <c r="J41" s="11"/>
      <c r="K41" s="11"/>
      <c r="L41" s="12"/>
    </row>
    <row r="42" spans="1:12" x14ac:dyDescent="0.25">
      <c r="C42" s="12"/>
      <c r="D42" s="12"/>
      <c r="E42" s="12"/>
      <c r="F42" s="12"/>
      <c r="G42" s="12"/>
      <c r="H42" s="11"/>
      <c r="I42" s="11"/>
      <c r="J42" s="11"/>
      <c r="K42" s="11"/>
      <c r="L42" s="12"/>
    </row>
    <row r="43" spans="1:12" x14ac:dyDescent="0.25">
      <c r="A43" t="s">
        <v>109</v>
      </c>
      <c r="C43" s="12"/>
      <c r="D43" s="12"/>
      <c r="E43" s="12"/>
      <c r="F43" s="12"/>
      <c r="G43" s="12"/>
      <c r="H43" s="11"/>
      <c r="I43" s="11"/>
      <c r="J43" s="11"/>
      <c r="K43" s="11"/>
      <c r="L43" s="12"/>
    </row>
    <row r="44" spans="1:12" x14ac:dyDescent="0.25">
      <c r="B44" t="s">
        <v>441</v>
      </c>
      <c r="C44" s="20">
        <f t="shared" ref="C44:H44" si="1">SUM(C13:C40)</f>
        <v>621734</v>
      </c>
      <c r="D44" s="20">
        <f t="shared" si="1"/>
        <v>702924</v>
      </c>
      <c r="E44" s="20">
        <f t="shared" si="1"/>
        <v>524230</v>
      </c>
      <c r="F44" s="20">
        <f t="shared" si="1"/>
        <v>812249</v>
      </c>
      <c r="G44" s="20">
        <f t="shared" si="1"/>
        <v>320809.84999999992</v>
      </c>
      <c r="H44" s="20">
        <f t="shared" si="1"/>
        <v>376166.93</v>
      </c>
      <c r="I44" s="20"/>
      <c r="J44" s="20">
        <f>SUM(J13:J40)</f>
        <v>572398.34400000004</v>
      </c>
      <c r="K44" s="20">
        <f>SUM(K13:K40)</f>
        <v>0</v>
      </c>
      <c r="L44" s="20">
        <f>SUM(L13:L40)</f>
        <v>572398.34400000004</v>
      </c>
    </row>
    <row r="45" spans="1:12" x14ac:dyDescent="0.25">
      <c r="C45" s="12"/>
      <c r="D45" s="12"/>
      <c r="E45" s="12"/>
      <c r="F45" s="12"/>
      <c r="G45" s="12"/>
      <c r="H45" s="11"/>
      <c r="I45" s="11"/>
      <c r="J45" s="11"/>
      <c r="K45" s="11"/>
      <c r="L45" s="12"/>
    </row>
    <row r="46" spans="1:12" x14ac:dyDescent="0.25">
      <c r="A46" t="s">
        <v>478</v>
      </c>
      <c r="C46" s="12"/>
      <c r="D46" s="12"/>
      <c r="E46" s="12"/>
      <c r="F46" s="12"/>
      <c r="G46" s="12"/>
      <c r="H46" s="11"/>
      <c r="I46" s="11"/>
      <c r="J46" s="11"/>
      <c r="K46" s="11"/>
      <c r="L46" s="12"/>
    </row>
    <row r="47" spans="1:12" x14ac:dyDescent="0.25">
      <c r="A47" t="s">
        <v>18</v>
      </c>
      <c r="B47" s="7" t="s">
        <v>21</v>
      </c>
      <c r="C47" s="12"/>
      <c r="D47" s="12"/>
      <c r="E47" s="12"/>
      <c r="F47" s="12"/>
      <c r="G47" s="12"/>
      <c r="H47" s="11"/>
      <c r="I47" s="11"/>
      <c r="J47" s="11"/>
      <c r="K47" s="11"/>
      <c r="L47" s="12"/>
    </row>
    <row r="48" spans="1:12" x14ac:dyDescent="0.25">
      <c r="A48" t="s">
        <v>612</v>
      </c>
      <c r="B48" s="7" t="s">
        <v>445</v>
      </c>
      <c r="C48" s="22">
        <v>1210</v>
      </c>
      <c r="D48" s="22">
        <v>2471</v>
      </c>
      <c r="E48" s="22">
        <v>3717</v>
      </c>
      <c r="F48" s="22">
        <v>4089</v>
      </c>
      <c r="G48" s="22">
        <v>1946.13</v>
      </c>
      <c r="H48" s="21">
        <v>1946.13</v>
      </c>
      <c r="I48" s="21"/>
      <c r="J48" s="21">
        <f>G48*10%+G48</f>
        <v>2140.7429999999999</v>
      </c>
      <c r="K48" s="21">
        <v>0</v>
      </c>
      <c r="L48" s="22">
        <f t="shared" ref="L48:L64" si="2">SUM(J48+K48)</f>
        <v>2140.7429999999999</v>
      </c>
    </row>
    <row r="49" spans="1:12" x14ac:dyDescent="0.25">
      <c r="A49" t="s">
        <v>613</v>
      </c>
      <c r="B49" s="7" t="s">
        <v>447</v>
      </c>
      <c r="C49" s="22">
        <v>1270</v>
      </c>
      <c r="D49" s="22">
        <v>1019</v>
      </c>
      <c r="E49" s="22">
        <v>1043</v>
      </c>
      <c r="F49" s="22">
        <v>3000</v>
      </c>
      <c r="G49" s="22">
        <v>599.13</v>
      </c>
      <c r="H49" s="21">
        <v>1000</v>
      </c>
      <c r="I49" s="21"/>
      <c r="J49" s="21">
        <v>4000</v>
      </c>
      <c r="K49" s="21">
        <v>0</v>
      </c>
      <c r="L49" s="22">
        <f t="shared" si="2"/>
        <v>4000</v>
      </c>
    </row>
    <row r="50" spans="1:12" x14ac:dyDescent="0.25">
      <c r="A50" t="s">
        <v>614</v>
      </c>
      <c r="B50" s="7" t="s">
        <v>449</v>
      </c>
      <c r="C50" s="22">
        <v>535</v>
      </c>
      <c r="D50" s="22">
        <v>277</v>
      </c>
      <c r="E50" s="22">
        <v>2585</v>
      </c>
      <c r="F50" s="22">
        <v>4500</v>
      </c>
      <c r="G50" s="22">
        <v>1286.8800000000001</v>
      </c>
      <c r="H50" s="21">
        <v>2000</v>
      </c>
      <c r="I50" s="21"/>
      <c r="J50" s="21">
        <v>5000</v>
      </c>
      <c r="K50" s="21">
        <v>0</v>
      </c>
      <c r="L50" s="22">
        <f t="shared" si="2"/>
        <v>5000</v>
      </c>
    </row>
    <row r="51" spans="1:12" x14ac:dyDescent="0.25">
      <c r="A51" t="s">
        <v>615</v>
      </c>
      <c r="B51" s="7" t="s">
        <v>451</v>
      </c>
      <c r="C51" s="22">
        <v>1780</v>
      </c>
      <c r="D51" s="22">
        <v>2068</v>
      </c>
      <c r="E51" s="22">
        <v>1685</v>
      </c>
      <c r="F51" s="22">
        <v>4500</v>
      </c>
      <c r="G51" s="22">
        <v>251.5</v>
      </c>
      <c r="H51" s="21">
        <v>1500</v>
      </c>
      <c r="I51" s="21"/>
      <c r="J51" s="21">
        <v>15000</v>
      </c>
      <c r="K51" s="21">
        <v>0</v>
      </c>
      <c r="L51" s="22">
        <f t="shared" si="2"/>
        <v>15000</v>
      </c>
    </row>
    <row r="52" spans="1:12" x14ac:dyDescent="0.25">
      <c r="A52" t="s">
        <v>616</v>
      </c>
      <c r="B52" s="7" t="s">
        <v>457</v>
      </c>
      <c r="C52" s="22">
        <v>1249</v>
      </c>
      <c r="D52" s="22">
        <v>2204</v>
      </c>
      <c r="E52" s="22">
        <v>1114</v>
      </c>
      <c r="F52" s="22">
        <v>3000</v>
      </c>
      <c r="G52" s="22">
        <v>1566.93</v>
      </c>
      <c r="H52" s="21">
        <v>1567</v>
      </c>
      <c r="I52" s="21"/>
      <c r="J52" s="21">
        <v>2500</v>
      </c>
      <c r="K52" s="21">
        <v>0</v>
      </c>
      <c r="L52" s="22">
        <f t="shared" si="2"/>
        <v>2500</v>
      </c>
    </row>
    <row r="53" spans="1:12" x14ac:dyDescent="0.25">
      <c r="A53" t="s">
        <v>617</v>
      </c>
      <c r="B53" s="7" t="s">
        <v>459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1">
        <v>0</v>
      </c>
      <c r="I53" s="21"/>
      <c r="J53" s="21">
        <v>0</v>
      </c>
      <c r="K53" s="21">
        <v>0</v>
      </c>
      <c r="L53" s="22">
        <f t="shared" si="2"/>
        <v>0</v>
      </c>
    </row>
    <row r="54" spans="1:12" x14ac:dyDescent="0.25">
      <c r="A54" t="s">
        <v>618</v>
      </c>
      <c r="B54" s="7" t="s">
        <v>619</v>
      </c>
      <c r="C54" s="22">
        <v>57055</v>
      </c>
      <c r="D54" s="22">
        <v>68055</v>
      </c>
      <c r="E54" s="22">
        <v>79220</v>
      </c>
      <c r="F54" s="22">
        <v>65000</v>
      </c>
      <c r="G54" s="22">
        <v>135317.5</v>
      </c>
      <c r="H54" s="21">
        <v>150000</v>
      </c>
      <c r="I54" s="21"/>
      <c r="J54" s="23">
        <v>0</v>
      </c>
      <c r="K54" s="21">
        <v>0</v>
      </c>
      <c r="L54" s="22">
        <f t="shared" si="2"/>
        <v>0</v>
      </c>
    </row>
    <row r="55" spans="1:12" x14ac:dyDescent="0.25">
      <c r="A55" t="s">
        <v>620</v>
      </c>
      <c r="B55" s="7" t="s">
        <v>461</v>
      </c>
      <c r="C55" s="22">
        <v>4502</v>
      </c>
      <c r="D55" s="22">
        <v>4162</v>
      </c>
      <c r="E55" s="22">
        <v>3601</v>
      </c>
      <c r="F55" s="22">
        <v>7000</v>
      </c>
      <c r="G55" s="22">
        <v>2455.2399999999998</v>
      </c>
      <c r="H55" s="21">
        <v>2700</v>
      </c>
      <c r="I55" s="21"/>
      <c r="J55" s="21">
        <v>5000</v>
      </c>
      <c r="K55" s="21">
        <v>0</v>
      </c>
      <c r="L55" s="22">
        <f t="shared" si="2"/>
        <v>5000</v>
      </c>
    </row>
    <row r="56" spans="1:12" x14ac:dyDescent="0.25">
      <c r="A56" t="s">
        <v>621</v>
      </c>
      <c r="B56" s="7" t="s">
        <v>465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1">
        <v>0</v>
      </c>
      <c r="I56" s="21"/>
      <c r="J56" s="21">
        <v>0</v>
      </c>
      <c r="K56" s="21">
        <v>0</v>
      </c>
      <c r="L56" s="22">
        <f t="shared" si="2"/>
        <v>0</v>
      </c>
    </row>
    <row r="57" spans="1:12" x14ac:dyDescent="0.25">
      <c r="A57" t="s">
        <v>622</v>
      </c>
      <c r="B57" s="7" t="s">
        <v>156</v>
      </c>
      <c r="C57" s="22">
        <v>32073</v>
      </c>
      <c r="D57" s="22">
        <v>30132</v>
      </c>
      <c r="E57" s="22">
        <v>25471</v>
      </c>
      <c r="F57" s="22">
        <v>35000</v>
      </c>
      <c r="G57" s="22">
        <v>14992</v>
      </c>
      <c r="H57" s="21">
        <v>22000</v>
      </c>
      <c r="I57" s="21"/>
      <c r="J57" s="21">
        <v>26000</v>
      </c>
      <c r="K57" s="21">
        <v>0</v>
      </c>
      <c r="L57" s="22">
        <f t="shared" si="2"/>
        <v>26000</v>
      </c>
    </row>
    <row r="58" spans="1:12" x14ac:dyDescent="0.25">
      <c r="A58" t="s">
        <v>623</v>
      </c>
      <c r="B58" s="7" t="s">
        <v>471</v>
      </c>
      <c r="C58" s="22">
        <v>1046</v>
      </c>
      <c r="D58" s="22">
        <v>1089</v>
      </c>
      <c r="E58" s="22">
        <v>1254</v>
      </c>
      <c r="F58" s="22">
        <v>1750</v>
      </c>
      <c r="G58" s="22">
        <v>1385.32</v>
      </c>
      <c r="H58" s="21">
        <v>1600</v>
      </c>
      <c r="I58" s="21"/>
      <c r="J58" s="21">
        <v>1750</v>
      </c>
      <c r="K58" s="21">
        <v>0</v>
      </c>
      <c r="L58" s="22">
        <f t="shared" si="2"/>
        <v>1750</v>
      </c>
    </row>
    <row r="59" spans="1:12" x14ac:dyDescent="0.25">
      <c r="A59" t="s">
        <v>624</v>
      </c>
      <c r="B59" s="7" t="s">
        <v>473</v>
      </c>
      <c r="C59" s="22">
        <v>38</v>
      </c>
      <c r="D59" s="22">
        <v>141</v>
      </c>
      <c r="E59" s="22">
        <v>0</v>
      </c>
      <c r="F59" s="22">
        <v>300</v>
      </c>
      <c r="G59" s="22">
        <v>0</v>
      </c>
      <c r="H59" s="21">
        <v>0</v>
      </c>
      <c r="I59" s="21"/>
      <c r="J59" s="21">
        <v>250</v>
      </c>
      <c r="K59" s="21">
        <v>0</v>
      </c>
      <c r="L59" s="22">
        <f t="shared" si="2"/>
        <v>250</v>
      </c>
    </row>
    <row r="60" spans="1:12" x14ac:dyDescent="0.25">
      <c r="A60" t="s">
        <v>625</v>
      </c>
      <c r="B60" s="7" t="s">
        <v>626</v>
      </c>
      <c r="C60" s="22">
        <v>980</v>
      </c>
      <c r="D60" s="22">
        <v>3216</v>
      </c>
      <c r="E60" s="22">
        <v>380</v>
      </c>
      <c r="F60" s="22">
        <v>4000</v>
      </c>
      <c r="G60" s="22">
        <v>1637.4</v>
      </c>
      <c r="H60" s="21">
        <v>2300</v>
      </c>
      <c r="I60" s="21"/>
      <c r="J60" s="21">
        <v>3000</v>
      </c>
      <c r="K60" s="21">
        <v>0</v>
      </c>
      <c r="L60" s="22">
        <f t="shared" si="2"/>
        <v>3000</v>
      </c>
    </row>
    <row r="61" spans="1:12" x14ac:dyDescent="0.25">
      <c r="A61" t="s">
        <v>627</v>
      </c>
      <c r="B61" s="7" t="s">
        <v>475</v>
      </c>
      <c r="C61" s="22">
        <v>5016</v>
      </c>
      <c r="D61" s="22">
        <v>19476</v>
      </c>
      <c r="E61" s="22">
        <v>1898</v>
      </c>
      <c r="F61" s="22">
        <v>5000</v>
      </c>
      <c r="G61" s="22">
        <v>8938</v>
      </c>
      <c r="H61" s="21">
        <v>9250</v>
      </c>
      <c r="I61" s="21"/>
      <c r="J61" s="21">
        <v>5000</v>
      </c>
      <c r="K61" s="21">
        <v>0</v>
      </c>
      <c r="L61" s="22">
        <f t="shared" si="2"/>
        <v>5000</v>
      </c>
    </row>
    <row r="62" spans="1:12" hidden="1" x14ac:dyDescent="0.25">
      <c r="A62" t="s">
        <v>628</v>
      </c>
      <c r="B62" s="7" t="s">
        <v>629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1">
        <v>0</v>
      </c>
      <c r="I62" s="21"/>
      <c r="J62" s="21">
        <v>0</v>
      </c>
      <c r="K62" s="21">
        <v>0</v>
      </c>
      <c r="L62" s="22">
        <f t="shared" si="2"/>
        <v>0</v>
      </c>
    </row>
    <row r="63" spans="1:12" x14ac:dyDescent="0.25">
      <c r="A63" t="s">
        <v>630</v>
      </c>
      <c r="B63" s="7" t="s">
        <v>631</v>
      </c>
      <c r="C63" s="22">
        <v>2750</v>
      </c>
      <c r="D63" s="22">
        <v>0</v>
      </c>
      <c r="E63" s="22">
        <v>0</v>
      </c>
      <c r="F63" s="22">
        <v>0</v>
      </c>
      <c r="G63" s="22">
        <v>0</v>
      </c>
      <c r="H63" s="21">
        <v>0</v>
      </c>
      <c r="I63" s="21"/>
      <c r="J63" s="21">
        <v>0</v>
      </c>
      <c r="K63" s="21">
        <v>0</v>
      </c>
      <c r="L63" s="22">
        <f t="shared" si="2"/>
        <v>0</v>
      </c>
    </row>
    <row r="64" spans="1:12" x14ac:dyDescent="0.25">
      <c r="A64" t="s">
        <v>632</v>
      </c>
      <c r="B64" s="7" t="s">
        <v>477</v>
      </c>
      <c r="C64" s="22">
        <v>136</v>
      </c>
      <c r="D64" s="22">
        <v>1673</v>
      </c>
      <c r="E64" s="22">
        <v>2398</v>
      </c>
      <c r="F64" s="22">
        <v>5000</v>
      </c>
      <c r="G64" s="22">
        <v>0</v>
      </c>
      <c r="H64" s="21">
        <v>0</v>
      </c>
      <c r="I64" s="21"/>
      <c r="J64" s="21">
        <v>2500</v>
      </c>
      <c r="K64" s="21">
        <v>0</v>
      </c>
      <c r="L64" s="22">
        <f t="shared" si="2"/>
        <v>2500</v>
      </c>
    </row>
    <row r="65" spans="1:12" x14ac:dyDescent="0.25">
      <c r="C65" s="12"/>
      <c r="D65" s="12"/>
      <c r="E65" s="12"/>
      <c r="F65" s="12"/>
      <c r="G65" s="12"/>
      <c r="H65" s="11"/>
      <c r="I65" s="11"/>
      <c r="J65" s="11"/>
      <c r="K65" s="11"/>
      <c r="L65" s="12"/>
    </row>
    <row r="66" spans="1:12" x14ac:dyDescent="0.25">
      <c r="C66" s="12"/>
      <c r="D66" s="12"/>
      <c r="E66" s="12"/>
      <c r="F66" s="12"/>
      <c r="G66" s="12"/>
      <c r="H66" s="11"/>
      <c r="I66" s="11"/>
      <c r="J66" s="11"/>
      <c r="K66" s="11"/>
      <c r="L66" s="12"/>
    </row>
    <row r="67" spans="1:12" x14ac:dyDescent="0.25">
      <c r="A67" t="s">
        <v>109</v>
      </c>
      <c r="C67" s="12"/>
      <c r="D67" s="12"/>
      <c r="E67" s="12"/>
      <c r="F67" s="12"/>
      <c r="G67" s="12"/>
      <c r="H67" s="11"/>
      <c r="I67" s="11"/>
      <c r="J67" s="11"/>
      <c r="K67" s="11"/>
      <c r="L67" s="12"/>
    </row>
    <row r="68" spans="1:12" x14ac:dyDescent="0.25">
      <c r="B68" t="s">
        <v>478</v>
      </c>
      <c r="C68" s="20">
        <f t="shared" ref="C68:H68" si="3">SUM(C48:C64)</f>
        <v>109640</v>
      </c>
      <c r="D68" s="20">
        <f t="shared" si="3"/>
        <v>135983</v>
      </c>
      <c r="E68" s="20">
        <f t="shared" si="3"/>
        <v>124366</v>
      </c>
      <c r="F68" s="20">
        <f t="shared" si="3"/>
        <v>142139</v>
      </c>
      <c r="G68" s="20">
        <f t="shared" si="3"/>
        <v>170376.03</v>
      </c>
      <c r="H68" s="20">
        <f t="shared" si="3"/>
        <v>195863.13</v>
      </c>
      <c r="I68" s="20"/>
      <c r="J68" s="20">
        <f>SUM(J48:J64)</f>
        <v>72140.743000000002</v>
      </c>
      <c r="K68" s="20">
        <f>SUM(K48:K64)</f>
        <v>0</v>
      </c>
      <c r="L68" s="20">
        <f>SUM(L48:L64)</f>
        <v>72140.743000000002</v>
      </c>
    </row>
    <row r="69" spans="1:12" x14ac:dyDescent="0.25">
      <c r="C69" s="12"/>
      <c r="D69" s="12"/>
      <c r="E69" s="12"/>
      <c r="F69" s="12"/>
      <c r="G69" s="12"/>
      <c r="H69" s="11"/>
      <c r="I69" s="11"/>
      <c r="J69" s="11"/>
      <c r="K69" s="11"/>
      <c r="L69" s="12"/>
    </row>
    <row r="70" spans="1:12" x14ac:dyDescent="0.25">
      <c r="A70" t="s">
        <v>489</v>
      </c>
      <c r="C70" s="12"/>
      <c r="D70" s="12"/>
      <c r="E70" s="12"/>
      <c r="F70" s="12"/>
      <c r="G70" s="12"/>
      <c r="H70" s="11"/>
      <c r="I70" s="11"/>
      <c r="J70" s="11"/>
      <c r="K70" s="11"/>
      <c r="L70" s="12"/>
    </row>
    <row r="71" spans="1:12" x14ac:dyDescent="0.25">
      <c r="A71" t="s">
        <v>18</v>
      </c>
      <c r="C71" s="12"/>
      <c r="D71" s="12"/>
      <c r="E71" s="12"/>
      <c r="F71" s="12"/>
      <c r="G71" s="12"/>
      <c r="H71" s="11"/>
      <c r="I71" s="11"/>
      <c r="J71" s="11"/>
      <c r="K71" s="11"/>
      <c r="L71" s="12"/>
    </row>
    <row r="72" spans="1:12" x14ac:dyDescent="0.25">
      <c r="A72" t="s">
        <v>633</v>
      </c>
      <c r="B72" s="7" t="s">
        <v>491</v>
      </c>
      <c r="C72" s="22">
        <v>1254</v>
      </c>
      <c r="D72" s="22">
        <v>0</v>
      </c>
      <c r="E72" s="22">
        <v>260</v>
      </c>
      <c r="F72" s="22">
        <v>1000</v>
      </c>
      <c r="G72" s="22">
        <v>1651.68</v>
      </c>
      <c r="H72" s="21">
        <v>2000</v>
      </c>
      <c r="I72" s="21"/>
      <c r="J72" s="21">
        <v>500</v>
      </c>
      <c r="K72" s="21">
        <v>0</v>
      </c>
      <c r="L72" s="22">
        <f>SUM(J72+K72)</f>
        <v>500</v>
      </c>
    </row>
    <row r="73" spans="1:12" x14ac:dyDescent="0.25">
      <c r="A73" t="s">
        <v>634</v>
      </c>
      <c r="B73" s="7" t="s">
        <v>493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1">
        <v>0</v>
      </c>
      <c r="I73" s="21"/>
      <c r="J73" s="21">
        <v>0</v>
      </c>
      <c r="K73" s="21">
        <v>0</v>
      </c>
      <c r="L73" s="22">
        <f>SUM(J73+K73)</f>
        <v>0</v>
      </c>
    </row>
    <row r="74" spans="1:12" x14ac:dyDescent="0.25">
      <c r="A74" t="s">
        <v>635</v>
      </c>
      <c r="B74" s="7" t="s">
        <v>489</v>
      </c>
      <c r="C74" s="22">
        <v>1286</v>
      </c>
      <c r="D74" s="22">
        <v>3385</v>
      </c>
      <c r="E74" s="22">
        <v>1589</v>
      </c>
      <c r="F74" s="22">
        <v>2500</v>
      </c>
      <c r="G74" s="22">
        <v>719.39</v>
      </c>
      <c r="H74" s="21">
        <v>1600</v>
      </c>
      <c r="I74" s="21"/>
      <c r="J74" s="21">
        <v>2500</v>
      </c>
      <c r="K74" s="21">
        <v>0</v>
      </c>
      <c r="L74" s="22">
        <f t="shared" ref="L74:L77" si="4">SUM(J74+K74)</f>
        <v>2500</v>
      </c>
    </row>
    <row r="75" spans="1:12" x14ac:dyDescent="0.25">
      <c r="A75" t="s">
        <v>636</v>
      </c>
      <c r="B75" s="7" t="s">
        <v>496</v>
      </c>
      <c r="C75" s="22">
        <v>7426</v>
      </c>
      <c r="D75" s="22">
        <v>5381</v>
      </c>
      <c r="E75" s="22">
        <v>2017</v>
      </c>
      <c r="F75" s="22">
        <v>6000</v>
      </c>
      <c r="G75" s="22">
        <v>815.67</v>
      </c>
      <c r="H75" s="21">
        <v>1100</v>
      </c>
      <c r="I75" s="21"/>
      <c r="J75" s="21">
        <v>3000</v>
      </c>
      <c r="K75" s="21">
        <v>0</v>
      </c>
      <c r="L75" s="22">
        <f t="shared" si="4"/>
        <v>3000</v>
      </c>
    </row>
    <row r="76" spans="1:12" hidden="1" x14ac:dyDescent="0.25">
      <c r="A76" t="s">
        <v>637</v>
      </c>
      <c r="B76" s="7" t="s">
        <v>498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1">
        <v>0</v>
      </c>
      <c r="I76" s="21"/>
      <c r="J76" s="21">
        <v>0</v>
      </c>
      <c r="K76" s="21">
        <v>0</v>
      </c>
      <c r="L76" s="22">
        <f t="shared" si="4"/>
        <v>0</v>
      </c>
    </row>
    <row r="77" spans="1:12" hidden="1" x14ac:dyDescent="0.25">
      <c r="A77" t="s">
        <v>638</v>
      </c>
      <c r="B77" s="7" t="s">
        <v>500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1">
        <v>0</v>
      </c>
      <c r="I77" s="21"/>
      <c r="J77" s="21">
        <v>0</v>
      </c>
      <c r="K77" s="21">
        <v>0</v>
      </c>
      <c r="L77" s="22">
        <f t="shared" si="4"/>
        <v>0</v>
      </c>
    </row>
    <row r="78" spans="1:12" x14ac:dyDescent="0.25">
      <c r="C78" s="12"/>
      <c r="D78" s="12"/>
      <c r="E78" s="12"/>
      <c r="F78" s="12"/>
      <c r="G78" s="12"/>
      <c r="H78" s="11"/>
      <c r="I78" s="11"/>
      <c r="J78" s="11"/>
      <c r="K78" s="11"/>
      <c r="L78" s="12"/>
    </row>
    <row r="79" spans="1:12" x14ac:dyDescent="0.25">
      <c r="C79" s="12"/>
      <c r="D79" s="12"/>
      <c r="E79" s="12"/>
      <c r="F79" s="12"/>
      <c r="G79" s="12"/>
      <c r="H79" s="11"/>
      <c r="I79" s="11"/>
      <c r="J79" s="11"/>
      <c r="K79" s="11"/>
      <c r="L79" s="12"/>
    </row>
    <row r="80" spans="1:12" x14ac:dyDescent="0.25">
      <c r="A80" t="s">
        <v>109</v>
      </c>
      <c r="C80" s="12"/>
      <c r="D80" s="12"/>
      <c r="E80" s="12"/>
      <c r="F80" s="12"/>
      <c r="G80" s="12"/>
      <c r="H80" s="11"/>
      <c r="I80" s="11"/>
      <c r="J80" s="11"/>
      <c r="K80" s="11"/>
      <c r="L80" s="12"/>
    </row>
    <row r="81" spans="1:12" x14ac:dyDescent="0.25">
      <c r="B81" t="s">
        <v>489</v>
      </c>
      <c r="C81" s="20">
        <f t="shared" ref="C81:H81" si="5">SUM(C72:C77)</f>
        <v>9966</v>
      </c>
      <c r="D81" s="20">
        <f t="shared" si="5"/>
        <v>8766</v>
      </c>
      <c r="E81" s="20">
        <f t="shared" si="5"/>
        <v>3866</v>
      </c>
      <c r="F81" s="20">
        <f t="shared" si="5"/>
        <v>9500</v>
      </c>
      <c r="G81" s="20">
        <f t="shared" si="5"/>
        <v>3186.7400000000002</v>
      </c>
      <c r="H81" s="20">
        <f t="shared" si="5"/>
        <v>4700</v>
      </c>
      <c r="I81" s="20"/>
      <c r="J81" s="20">
        <f>SUM(J72:J77)</f>
        <v>6000</v>
      </c>
      <c r="K81" s="20">
        <f>SUM(K72:K77)</f>
        <v>0</v>
      </c>
      <c r="L81" s="20">
        <f>SUM(L72:L77)</f>
        <v>6000</v>
      </c>
    </row>
    <row r="82" spans="1:12" x14ac:dyDescent="0.25">
      <c r="C82" s="12"/>
      <c r="D82" s="12"/>
      <c r="E82" s="12"/>
      <c r="F82" s="12"/>
      <c r="G82" s="12"/>
      <c r="H82" s="11"/>
      <c r="I82" s="11"/>
      <c r="J82" s="11"/>
      <c r="K82" s="11"/>
      <c r="L82" s="12"/>
    </row>
    <row r="83" spans="1:12" x14ac:dyDescent="0.25">
      <c r="A83" t="s">
        <v>501</v>
      </c>
      <c r="C83" s="12"/>
      <c r="D83" s="12"/>
      <c r="E83" s="12"/>
      <c r="F83" s="12"/>
      <c r="G83" s="12"/>
      <c r="H83" s="11"/>
      <c r="I83" s="11"/>
      <c r="J83" s="11"/>
      <c r="K83" s="11"/>
      <c r="L83" s="12"/>
    </row>
    <row r="84" spans="1:12" x14ac:dyDescent="0.25">
      <c r="A84" t="s">
        <v>18</v>
      </c>
      <c r="C84" s="12"/>
      <c r="D84" s="12"/>
      <c r="E84" s="12"/>
      <c r="F84" s="12"/>
      <c r="G84" s="12"/>
      <c r="H84" s="11"/>
      <c r="I84" s="11"/>
      <c r="J84" s="11"/>
      <c r="K84" s="11"/>
      <c r="L84" s="12"/>
    </row>
    <row r="85" spans="1:12" x14ac:dyDescent="0.25">
      <c r="A85" t="s">
        <v>639</v>
      </c>
      <c r="B85" s="7" t="s">
        <v>503</v>
      </c>
      <c r="C85" s="22">
        <v>11668</v>
      </c>
      <c r="D85" s="22">
        <v>20128</v>
      </c>
      <c r="E85" s="22">
        <v>172250</v>
      </c>
      <c r="F85" s="22">
        <v>110000</v>
      </c>
      <c r="G85" s="22">
        <v>156088</v>
      </c>
      <c r="H85" s="21">
        <v>175000</v>
      </c>
      <c r="I85" s="21"/>
      <c r="J85" s="23">
        <v>0</v>
      </c>
      <c r="K85" s="21">
        <v>0</v>
      </c>
      <c r="L85" s="22">
        <f t="shared" ref="L85:L97" si="6">SUM(J85+K85)</f>
        <v>0</v>
      </c>
    </row>
    <row r="86" spans="1:12" x14ac:dyDescent="0.25">
      <c r="A86" t="s">
        <v>640</v>
      </c>
      <c r="B86" s="7" t="s">
        <v>507</v>
      </c>
      <c r="C86" s="22">
        <v>0</v>
      </c>
      <c r="D86" s="22">
        <v>2563</v>
      </c>
      <c r="E86" s="22">
        <v>0</v>
      </c>
      <c r="F86" s="22">
        <v>0</v>
      </c>
      <c r="G86" s="22">
        <v>0</v>
      </c>
      <c r="H86" s="21">
        <v>0</v>
      </c>
      <c r="I86" s="21"/>
      <c r="J86" s="21">
        <v>0</v>
      </c>
      <c r="K86" s="21">
        <v>0</v>
      </c>
      <c r="L86" s="22">
        <f t="shared" si="6"/>
        <v>0</v>
      </c>
    </row>
    <row r="87" spans="1:12" x14ac:dyDescent="0.25">
      <c r="A87" t="s">
        <v>641</v>
      </c>
      <c r="B87" s="7" t="s">
        <v>642</v>
      </c>
      <c r="C87" s="22">
        <v>57535</v>
      </c>
      <c r="D87" s="22">
        <v>150013</v>
      </c>
      <c r="E87" s="22">
        <v>172210</v>
      </c>
      <c r="F87" s="22">
        <v>90000</v>
      </c>
      <c r="G87" s="22">
        <v>91948.79</v>
      </c>
      <c r="H87" s="21">
        <v>94000</v>
      </c>
      <c r="I87" s="21"/>
      <c r="J87" s="21">
        <v>95000</v>
      </c>
      <c r="K87" s="21">
        <v>0</v>
      </c>
      <c r="L87" s="22">
        <f t="shared" si="6"/>
        <v>95000</v>
      </c>
    </row>
    <row r="88" spans="1:12" x14ac:dyDescent="0.25">
      <c r="A88" t="s">
        <v>643</v>
      </c>
      <c r="B88" s="7" t="s">
        <v>644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1">
        <v>0</v>
      </c>
      <c r="I88" s="21"/>
      <c r="J88" s="21">
        <v>0</v>
      </c>
      <c r="K88" s="21">
        <v>0</v>
      </c>
      <c r="L88" s="22">
        <f t="shared" si="6"/>
        <v>0</v>
      </c>
    </row>
    <row r="89" spans="1:12" x14ac:dyDescent="0.25">
      <c r="A89" t="s">
        <v>645</v>
      </c>
      <c r="B89" s="7" t="s">
        <v>646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1">
        <v>0</v>
      </c>
      <c r="I89" s="21"/>
      <c r="J89" s="21">
        <v>0</v>
      </c>
      <c r="K89" s="21">
        <v>0</v>
      </c>
      <c r="L89" s="22">
        <f t="shared" si="6"/>
        <v>0</v>
      </c>
    </row>
    <row r="90" spans="1:12" x14ac:dyDescent="0.25">
      <c r="A90" t="s">
        <v>647</v>
      </c>
      <c r="B90" s="7" t="s">
        <v>648</v>
      </c>
      <c r="C90" s="22">
        <v>0</v>
      </c>
      <c r="D90" s="22">
        <v>0</v>
      </c>
      <c r="E90" s="22">
        <v>490</v>
      </c>
      <c r="F90" s="22">
        <v>0</v>
      </c>
      <c r="G90" s="22">
        <v>0</v>
      </c>
      <c r="H90" s="21">
        <v>0</v>
      </c>
      <c r="I90" s="21"/>
      <c r="J90" s="21">
        <v>0</v>
      </c>
      <c r="K90" s="21">
        <v>0</v>
      </c>
      <c r="L90" s="22">
        <f t="shared" si="6"/>
        <v>0</v>
      </c>
    </row>
    <row r="91" spans="1:12" x14ac:dyDescent="0.25">
      <c r="A91" t="s">
        <v>649</v>
      </c>
      <c r="B91" s="7" t="s">
        <v>650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1">
        <v>0</v>
      </c>
      <c r="I91" s="21"/>
      <c r="J91" s="21">
        <v>0</v>
      </c>
      <c r="K91" s="21">
        <v>0</v>
      </c>
      <c r="L91" s="22">
        <f t="shared" si="6"/>
        <v>0</v>
      </c>
    </row>
    <row r="92" spans="1:12" x14ac:dyDescent="0.25">
      <c r="A92" t="s">
        <v>3553</v>
      </c>
      <c r="B92" s="7" t="s">
        <v>509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1">
        <v>0</v>
      </c>
      <c r="I92" s="21"/>
      <c r="J92" s="21">
        <v>43100</v>
      </c>
      <c r="K92" s="21">
        <v>0</v>
      </c>
      <c r="L92" s="22">
        <f t="shared" ref="L92" si="7">SUM(J92+K92)</f>
        <v>43100</v>
      </c>
    </row>
    <row r="93" spans="1:12" x14ac:dyDescent="0.25">
      <c r="B93" s="7" t="s">
        <v>3554</v>
      </c>
      <c r="C93" s="22"/>
      <c r="D93" s="22"/>
      <c r="E93" s="22"/>
      <c r="F93" s="22"/>
      <c r="G93" s="22"/>
      <c r="H93" s="21"/>
      <c r="I93" s="21">
        <v>13000</v>
      </c>
      <c r="J93" s="21"/>
      <c r="K93" s="21"/>
      <c r="L93" s="22"/>
    </row>
    <row r="94" spans="1:12" x14ac:dyDescent="0.25">
      <c r="B94" s="7" t="s">
        <v>3555</v>
      </c>
      <c r="C94" s="22"/>
      <c r="D94" s="22"/>
      <c r="E94" s="22"/>
      <c r="F94" s="22"/>
      <c r="G94" s="22"/>
      <c r="H94" s="21"/>
      <c r="I94" s="21">
        <v>30100</v>
      </c>
      <c r="J94" s="21"/>
      <c r="K94" s="21"/>
      <c r="L94" s="22"/>
    </row>
    <row r="95" spans="1:12" x14ac:dyDescent="0.25">
      <c r="A95" t="s">
        <v>652</v>
      </c>
      <c r="B95" s="7" t="s">
        <v>517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1">
        <v>0</v>
      </c>
      <c r="I95" s="21"/>
      <c r="J95" s="21">
        <v>0</v>
      </c>
      <c r="K95" s="21">
        <v>0</v>
      </c>
      <c r="L95" s="22">
        <f t="shared" si="6"/>
        <v>0</v>
      </c>
    </row>
    <row r="96" spans="1:12" x14ac:dyDescent="0.25">
      <c r="A96" t="s">
        <v>653</v>
      </c>
      <c r="B96" s="7" t="s">
        <v>519</v>
      </c>
      <c r="C96" s="22">
        <v>14542</v>
      </c>
      <c r="D96" s="22">
        <v>10479</v>
      </c>
      <c r="E96" s="22">
        <v>-1125</v>
      </c>
      <c r="F96" s="22">
        <v>4000</v>
      </c>
      <c r="G96" s="22">
        <v>1497</v>
      </c>
      <c r="H96" s="21">
        <v>3000</v>
      </c>
      <c r="I96" s="21"/>
      <c r="J96" s="21">
        <v>3000</v>
      </c>
      <c r="K96" s="21">
        <v>0</v>
      </c>
      <c r="L96" s="22">
        <f t="shared" si="6"/>
        <v>3000</v>
      </c>
    </row>
    <row r="97" spans="1:12" x14ac:dyDescent="0.25">
      <c r="A97" t="s">
        <v>656</v>
      </c>
      <c r="B97" s="7" t="s">
        <v>521</v>
      </c>
      <c r="C97" s="22">
        <v>0</v>
      </c>
      <c r="D97" s="22">
        <v>7816</v>
      </c>
      <c r="E97" s="22">
        <v>26975</v>
      </c>
      <c r="F97" s="22">
        <v>24200</v>
      </c>
      <c r="G97" s="22">
        <v>24645.8</v>
      </c>
      <c r="H97" s="21">
        <v>29000</v>
      </c>
      <c r="I97" s="21"/>
      <c r="J97" s="21">
        <v>29000</v>
      </c>
      <c r="K97" s="21">
        <v>0</v>
      </c>
      <c r="L97" s="22">
        <f t="shared" si="6"/>
        <v>29000</v>
      </c>
    </row>
    <row r="98" spans="1:12" x14ac:dyDescent="0.25">
      <c r="C98" s="12"/>
      <c r="D98" s="12"/>
      <c r="E98" s="12"/>
      <c r="F98" s="12"/>
      <c r="G98" s="12"/>
      <c r="H98" s="11"/>
      <c r="I98" s="11"/>
      <c r="J98" s="11"/>
      <c r="K98" s="11"/>
      <c r="L98" s="12"/>
    </row>
    <row r="99" spans="1:12" x14ac:dyDescent="0.25">
      <c r="C99" s="12"/>
      <c r="D99" s="12"/>
      <c r="E99" s="12"/>
      <c r="F99" s="12"/>
      <c r="G99" s="12"/>
      <c r="H99" s="11"/>
      <c r="I99" s="11"/>
      <c r="J99" s="11"/>
      <c r="K99" s="11"/>
      <c r="L99" s="12"/>
    </row>
    <row r="100" spans="1:12" x14ac:dyDescent="0.25">
      <c r="A100" t="s">
        <v>109</v>
      </c>
      <c r="C100" s="12"/>
      <c r="D100" s="12"/>
      <c r="E100" s="12"/>
      <c r="F100" s="12"/>
      <c r="G100" s="12"/>
      <c r="H100" s="11"/>
      <c r="I100" s="11"/>
      <c r="J100" s="11"/>
      <c r="K100" s="11"/>
      <c r="L100" s="12"/>
    </row>
    <row r="101" spans="1:12" x14ac:dyDescent="0.25">
      <c r="B101" t="s">
        <v>501</v>
      </c>
      <c r="C101" s="20">
        <f t="shared" ref="C101:H101" si="8">SUM(C85:C97)</f>
        <v>83745</v>
      </c>
      <c r="D101" s="20">
        <f t="shared" si="8"/>
        <v>190999</v>
      </c>
      <c r="E101" s="20">
        <f t="shared" si="8"/>
        <v>370800</v>
      </c>
      <c r="F101" s="20">
        <f t="shared" si="8"/>
        <v>228200</v>
      </c>
      <c r="G101" s="20">
        <f t="shared" si="8"/>
        <v>274179.58999999997</v>
      </c>
      <c r="H101" s="20">
        <f t="shared" si="8"/>
        <v>301000</v>
      </c>
      <c r="I101" s="20"/>
      <c r="J101" s="20">
        <f>SUM(J85:J97)</f>
        <v>170100</v>
      </c>
      <c r="K101" s="20">
        <f>SUM(K85:K97)</f>
        <v>0</v>
      </c>
      <c r="L101" s="20">
        <f>SUM(L85:L97)</f>
        <v>170100</v>
      </c>
    </row>
    <row r="102" spans="1:12" x14ac:dyDescent="0.25">
      <c r="C102" s="12"/>
      <c r="D102" s="12"/>
      <c r="E102" s="12"/>
      <c r="F102" s="12"/>
      <c r="G102" s="12"/>
      <c r="H102" s="11"/>
      <c r="I102" s="11"/>
      <c r="J102" s="11"/>
      <c r="K102" s="11"/>
      <c r="L102" s="12"/>
    </row>
    <row r="103" spans="1:12" x14ac:dyDescent="0.25">
      <c r="A103" t="s">
        <v>530</v>
      </c>
      <c r="C103" s="12"/>
      <c r="D103" s="12"/>
      <c r="E103" s="12"/>
      <c r="F103" s="12"/>
      <c r="G103" s="12"/>
      <c r="H103" s="11"/>
      <c r="I103" s="11"/>
      <c r="J103" s="11"/>
      <c r="K103" s="11"/>
      <c r="L103" s="12"/>
    </row>
    <row r="104" spans="1:12" x14ac:dyDescent="0.25">
      <c r="A104" t="s">
        <v>18</v>
      </c>
      <c r="B104" s="7" t="s">
        <v>526</v>
      </c>
      <c r="C104" s="12"/>
      <c r="D104" s="12"/>
      <c r="E104" s="12"/>
      <c r="F104" s="12"/>
      <c r="G104" s="12"/>
      <c r="H104" s="11"/>
      <c r="I104" s="11"/>
      <c r="J104" s="11"/>
      <c r="K104" s="11"/>
      <c r="L104" s="12"/>
    </row>
    <row r="105" spans="1:12" x14ac:dyDescent="0.25">
      <c r="A105" t="s">
        <v>657</v>
      </c>
      <c r="B105" s="7" t="s">
        <v>658</v>
      </c>
      <c r="C105" s="22">
        <v>61973</v>
      </c>
      <c r="D105" s="22">
        <v>0</v>
      </c>
      <c r="E105" s="22">
        <v>32858</v>
      </c>
      <c r="F105" s="22">
        <v>35000</v>
      </c>
      <c r="G105" s="22">
        <v>0</v>
      </c>
      <c r="H105" s="21">
        <v>0</v>
      </c>
      <c r="I105" s="21"/>
      <c r="J105" s="21">
        <v>0</v>
      </c>
      <c r="K105" s="21">
        <v>0</v>
      </c>
      <c r="L105" s="22">
        <f t="shared" ref="L105:L108" si="9">SUM(J105+K105)</f>
        <v>0</v>
      </c>
    </row>
    <row r="106" spans="1:12" x14ac:dyDescent="0.25">
      <c r="A106" t="s">
        <v>659</v>
      </c>
      <c r="B106" s="7" t="s">
        <v>660</v>
      </c>
      <c r="C106" s="22">
        <v>0</v>
      </c>
      <c r="D106" s="22">
        <v>0</v>
      </c>
      <c r="E106" s="22">
        <v>0</v>
      </c>
      <c r="F106" s="22">
        <v>45000</v>
      </c>
      <c r="G106" s="22">
        <v>37641.75</v>
      </c>
      <c r="H106" s="21">
        <v>37641.75</v>
      </c>
      <c r="I106" s="21"/>
      <c r="J106" s="21">
        <v>0</v>
      </c>
      <c r="K106" s="21">
        <v>0</v>
      </c>
      <c r="L106" s="22">
        <f t="shared" si="9"/>
        <v>0</v>
      </c>
    </row>
    <row r="107" spans="1:12" x14ac:dyDescent="0.25">
      <c r="A107" t="s">
        <v>661</v>
      </c>
      <c r="B107" s="7" t="s">
        <v>662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1">
        <v>0</v>
      </c>
      <c r="I107" s="21"/>
      <c r="J107" s="21">
        <v>0</v>
      </c>
      <c r="K107" s="21">
        <v>0</v>
      </c>
      <c r="L107" s="22">
        <f t="shared" si="9"/>
        <v>0</v>
      </c>
    </row>
    <row r="108" spans="1:12" x14ac:dyDescent="0.25">
      <c r="A108" t="s">
        <v>663</v>
      </c>
      <c r="B108" s="7" t="s">
        <v>664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1">
        <v>0</v>
      </c>
      <c r="I108" s="21"/>
      <c r="J108" s="21">
        <v>0</v>
      </c>
      <c r="K108" s="21">
        <v>0</v>
      </c>
      <c r="L108" s="22">
        <f t="shared" si="9"/>
        <v>0</v>
      </c>
    </row>
    <row r="109" spans="1:12" x14ac:dyDescent="0.25">
      <c r="C109" s="12"/>
      <c r="D109" s="12"/>
      <c r="E109" s="12"/>
      <c r="F109" s="12"/>
      <c r="G109" s="12"/>
      <c r="H109" s="11"/>
      <c r="I109" s="11"/>
      <c r="J109" s="11"/>
      <c r="K109" s="11"/>
      <c r="L109" s="12"/>
    </row>
    <row r="110" spans="1:12" x14ac:dyDescent="0.25">
      <c r="C110" s="12"/>
      <c r="D110" s="12"/>
      <c r="E110" s="12"/>
      <c r="F110" s="12"/>
      <c r="G110" s="12"/>
      <c r="H110" s="11"/>
      <c r="I110" s="11"/>
      <c r="J110" s="11"/>
      <c r="K110" s="11"/>
      <c r="L110" s="12"/>
    </row>
    <row r="111" spans="1:12" x14ac:dyDescent="0.25">
      <c r="A111" t="s">
        <v>109</v>
      </c>
      <c r="C111" s="12"/>
      <c r="D111" s="12"/>
      <c r="E111" s="12"/>
      <c r="F111" s="12"/>
      <c r="G111" s="12"/>
      <c r="H111" s="11"/>
      <c r="I111" s="11"/>
      <c r="J111" s="11"/>
      <c r="K111" s="11"/>
      <c r="L111" s="12"/>
    </row>
    <row r="112" spans="1:12" x14ac:dyDescent="0.25">
      <c r="B112" t="s">
        <v>530</v>
      </c>
      <c r="C112" s="20">
        <f t="shared" ref="C112:H112" si="10">SUM(C105:C108)</f>
        <v>61973</v>
      </c>
      <c r="D112" s="20">
        <f t="shared" si="10"/>
        <v>0</v>
      </c>
      <c r="E112" s="20">
        <f t="shared" si="10"/>
        <v>32858</v>
      </c>
      <c r="F112" s="20">
        <f t="shared" si="10"/>
        <v>80000</v>
      </c>
      <c r="G112" s="20">
        <f t="shared" si="10"/>
        <v>37641.75</v>
      </c>
      <c r="H112" s="20">
        <f t="shared" si="10"/>
        <v>37641.75</v>
      </c>
      <c r="I112" s="20"/>
      <c r="J112" s="20">
        <f>SUM(J105:J108)</f>
        <v>0</v>
      </c>
      <c r="K112" s="20">
        <f>SUM(K105:K108)</f>
        <v>0</v>
      </c>
      <c r="L112" s="20">
        <f>SUM(L105:L108)</f>
        <v>0</v>
      </c>
    </row>
    <row r="113" spans="1:12" x14ac:dyDescent="0.25">
      <c r="C113" s="12"/>
      <c r="D113" s="12"/>
      <c r="E113" s="12"/>
      <c r="F113" s="12"/>
      <c r="G113" s="12"/>
      <c r="H113" s="11"/>
      <c r="I113" s="11"/>
      <c r="J113" s="11"/>
      <c r="K113" s="11"/>
      <c r="L113" s="12"/>
    </row>
    <row r="114" spans="1:12" x14ac:dyDescent="0.25">
      <c r="C114" s="12"/>
      <c r="D114" s="12"/>
      <c r="E114" s="12"/>
      <c r="F114" s="12"/>
      <c r="G114" s="12"/>
      <c r="H114" s="11"/>
      <c r="I114" s="11"/>
      <c r="J114" s="11"/>
      <c r="K114" s="11"/>
      <c r="L114" s="12"/>
    </row>
    <row r="115" spans="1:12" x14ac:dyDescent="0.25">
      <c r="A115" t="s">
        <v>109</v>
      </c>
      <c r="C115" s="12"/>
      <c r="D115" s="12"/>
      <c r="E115" s="12"/>
      <c r="F115" s="12"/>
      <c r="G115" s="12"/>
      <c r="H115" s="11"/>
      <c r="I115" s="11"/>
      <c r="J115" s="11"/>
      <c r="K115" s="11"/>
      <c r="L115" s="12"/>
    </row>
    <row r="116" spans="1:12" x14ac:dyDescent="0.25">
      <c r="A116">
        <v>12</v>
      </c>
      <c r="B116" t="s">
        <v>3556</v>
      </c>
      <c r="C116" s="20">
        <f t="shared" ref="C116:H116" si="11">C44+C68+C81+C101+C112</f>
        <v>887058</v>
      </c>
      <c r="D116" s="20">
        <f t="shared" si="11"/>
        <v>1038672</v>
      </c>
      <c r="E116" s="20">
        <f t="shared" si="11"/>
        <v>1056120</v>
      </c>
      <c r="F116" s="20">
        <f t="shared" si="11"/>
        <v>1272088</v>
      </c>
      <c r="G116" s="20">
        <f t="shared" si="11"/>
        <v>806193.95999999985</v>
      </c>
      <c r="H116" s="20">
        <f t="shared" si="11"/>
        <v>915371.81</v>
      </c>
      <c r="I116" s="20"/>
      <c r="J116" s="20">
        <f>J44+J68+J81+J101+J112</f>
        <v>820639.08700000006</v>
      </c>
      <c r="K116" s="20">
        <f>K44+K68+K81+K101+K112</f>
        <v>0</v>
      </c>
      <c r="L116" s="20">
        <f>L44+L68+L81+L101+L112</f>
        <v>820639.08700000006</v>
      </c>
    </row>
  </sheetData>
  <sheetProtection algorithmName="SHA-512" hashValue="Knbzj/m8GBp6zs3QEkTJ4Kdc3PevRJFyTPl/L67Mvj0E2EgU5rZOcQIGx4XMU8Z3SgFRLmAKOGmib0xT6CTEiQ==" saltValue="LdB5gTOXMatscJjnD9uyIQ==" spinCount="100000" sheet="1" objects="1" scenarios="1" insertRows="0"/>
  <pageMargins left="0.25" right="0.25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45</vt:i4>
      </vt:variant>
    </vt:vector>
  </HeadingPairs>
  <TitlesOfParts>
    <vt:vector size="94" baseType="lpstr">
      <vt:lpstr>2025-26 proposed budget</vt:lpstr>
      <vt:lpstr>Consolidated 1</vt:lpstr>
      <vt:lpstr>Main Operating Funds</vt:lpstr>
      <vt:lpstr>Consolidated W.O Salaries</vt:lpstr>
      <vt:lpstr>Consolidated Moving CIP</vt:lpstr>
      <vt:lpstr>General Fund Revenue</vt:lpstr>
      <vt:lpstr>Admin</vt:lpstr>
      <vt:lpstr>Non Departmental</vt:lpstr>
      <vt:lpstr>Development Service</vt:lpstr>
      <vt:lpstr>Finance</vt:lpstr>
      <vt:lpstr>HR</vt:lpstr>
      <vt:lpstr>Court</vt:lpstr>
      <vt:lpstr>City Secretary</vt:lpstr>
      <vt:lpstr>Economic Development</vt:lpstr>
      <vt:lpstr>Legal</vt:lpstr>
      <vt:lpstr>Police Department</vt:lpstr>
      <vt:lpstr>Code Enforcement</vt:lpstr>
      <vt:lpstr>Dispatch</vt:lpstr>
      <vt:lpstr>Streets</vt:lpstr>
      <vt:lpstr>Solid Waste</vt:lpstr>
      <vt:lpstr>Building Maintenance</vt:lpstr>
      <vt:lpstr>Parks &amp; Rec</vt:lpstr>
      <vt:lpstr>Aquatics</vt:lpstr>
      <vt:lpstr>Library</vt:lpstr>
      <vt:lpstr>City Council</vt:lpstr>
      <vt:lpstr>General Fund IT</vt:lpstr>
      <vt:lpstr>General Fund Transfers</vt:lpstr>
      <vt:lpstr>Hotel Fund</vt:lpstr>
      <vt:lpstr>Aviation Fund</vt:lpstr>
      <vt:lpstr>Golf Course Revenue</vt:lpstr>
      <vt:lpstr>LVGC ProShop</vt:lpstr>
      <vt:lpstr>LVGC Maintenance</vt:lpstr>
      <vt:lpstr>Utility Fund Revenue</vt:lpstr>
      <vt:lpstr>Utility Admin</vt:lpstr>
      <vt:lpstr>General Fund Transfer</vt:lpstr>
      <vt:lpstr>Utility Fund IT</vt:lpstr>
      <vt:lpstr>Public Works Admin</vt:lpstr>
      <vt:lpstr>Water Services</vt:lpstr>
      <vt:lpstr>Water Plant 1</vt:lpstr>
      <vt:lpstr>Water Plant 3</vt:lpstr>
      <vt:lpstr>Sewer Services</vt:lpstr>
      <vt:lpstr>Wastewater Treatment Plant</vt:lpstr>
      <vt:lpstr>Effluent Disposal</vt:lpstr>
      <vt:lpstr>Booster Pumps</vt:lpstr>
      <vt:lpstr>Lift Stations</vt:lpstr>
      <vt:lpstr>Park Fund</vt:lpstr>
      <vt:lpstr>Impact Fee Fund</vt:lpstr>
      <vt:lpstr>Debt Service</vt:lpstr>
      <vt:lpstr>CIP Fund</vt:lpstr>
      <vt:lpstr>Admin!Print_Titles</vt:lpstr>
      <vt:lpstr>Aquatics!Print_Titles</vt:lpstr>
      <vt:lpstr>'Aviation Fund'!Print_Titles</vt:lpstr>
      <vt:lpstr>'Booster Pumps'!Print_Titles</vt:lpstr>
      <vt:lpstr>'Building Maintenance'!Print_Titles</vt:lpstr>
      <vt:lpstr>'CIP Fund'!Print_Titles</vt:lpstr>
      <vt:lpstr>'City Council'!Print_Titles</vt:lpstr>
      <vt:lpstr>'City Secretary'!Print_Titles</vt:lpstr>
      <vt:lpstr>'Code Enforcement'!Print_Titles</vt:lpstr>
      <vt:lpstr>'Consolidated 1'!Print_Titles</vt:lpstr>
      <vt:lpstr>Court!Print_Titles</vt:lpstr>
      <vt:lpstr>'Debt Service'!Print_Titles</vt:lpstr>
      <vt:lpstr>'Development Service'!Print_Titles</vt:lpstr>
      <vt:lpstr>Dispatch!Print_Titles</vt:lpstr>
      <vt:lpstr>'Economic Development'!Print_Titles</vt:lpstr>
      <vt:lpstr>'Effluent Disposal'!Print_Titles</vt:lpstr>
      <vt:lpstr>Finance!Print_Titles</vt:lpstr>
      <vt:lpstr>'General Fund IT'!Print_Titles</vt:lpstr>
      <vt:lpstr>'General Fund Revenue'!Print_Titles</vt:lpstr>
      <vt:lpstr>'General Fund Transfer'!Print_Titles</vt:lpstr>
      <vt:lpstr>'General Fund Transfers'!Print_Titles</vt:lpstr>
      <vt:lpstr>'Golf Course Revenue'!Print_Titles</vt:lpstr>
      <vt:lpstr>'Hotel Fund'!Print_Titles</vt:lpstr>
      <vt:lpstr>HR!Print_Titles</vt:lpstr>
      <vt:lpstr>'Impact Fee Fund'!Print_Titles</vt:lpstr>
      <vt:lpstr>Legal!Print_Titles</vt:lpstr>
      <vt:lpstr>Library!Print_Titles</vt:lpstr>
      <vt:lpstr>'Lift Stations'!Print_Titles</vt:lpstr>
      <vt:lpstr>'LVGC Maintenance'!Print_Titles</vt:lpstr>
      <vt:lpstr>'LVGC ProShop'!Print_Titles</vt:lpstr>
      <vt:lpstr>'Non Departmental'!Print_Titles</vt:lpstr>
      <vt:lpstr>'Park Fund'!Print_Titles</vt:lpstr>
      <vt:lpstr>'Parks &amp; Rec'!Print_Titles</vt:lpstr>
      <vt:lpstr>'Police Department'!Print_Titles</vt:lpstr>
      <vt:lpstr>'Public Works Admin'!Print_Titles</vt:lpstr>
      <vt:lpstr>'Sewer Services'!Print_Titles</vt:lpstr>
      <vt:lpstr>'Solid Waste'!Print_Titles</vt:lpstr>
      <vt:lpstr>Streets!Print_Titles</vt:lpstr>
      <vt:lpstr>'Utility Admin'!Print_Titles</vt:lpstr>
      <vt:lpstr>'Utility Fund IT'!Print_Titles</vt:lpstr>
      <vt:lpstr>'Utility Fund Revenue'!Print_Titles</vt:lpstr>
      <vt:lpstr>'Wastewater Treatment Plant'!Print_Titles</vt:lpstr>
      <vt:lpstr>'Water Plant 1'!Print_Titles</vt:lpstr>
      <vt:lpstr>'Water Plant 3'!Print_Titles</vt:lpstr>
      <vt:lpstr>'Water Services'!Print_Titles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Nichole Navarro</dc:creator>
  <cp:keywords/>
  <dc:description/>
  <cp:lastModifiedBy>Nichole Navarro</cp:lastModifiedBy>
  <cp:revision/>
  <dcterms:created xsi:type="dcterms:W3CDTF">2025-06-09T22:28:00Z</dcterms:created>
  <dcterms:modified xsi:type="dcterms:W3CDTF">2025-09-11T16:44:00Z</dcterms:modified>
  <cp:category/>
  <cp:contentStatus/>
</cp:coreProperties>
</file>